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omments/comment2.xml" ContentType="application/vnd.openxmlformats-officedocument.spreadsheetml.comments+xml"/>
  <Override PartName="/xl/worksheets/sheet7.xml" ContentType="application/vnd.openxmlformats-officedocument.spreadsheetml.worksheet+xml"/>
  <Override PartName="/xl/comments/comment3.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Assumptions" sheetId="2" state="visible" r:id="rId2"/>
    <sheet xmlns:r="http://schemas.openxmlformats.org/officeDocument/2006/relationships" name="Per-Store P&amp;L" sheetId="3" state="visible" r:id="rId3"/>
    <sheet xmlns:r="http://schemas.openxmlformats.org/officeDocument/2006/relationships" name="Five-Store Rollup" sheetId="4" state="visible" r:id="rId4"/>
    <sheet xmlns:r="http://schemas.openxmlformats.org/officeDocument/2006/relationships" name="Sensitivity" sheetId="5" state="visible" r:id="rId5"/>
    <sheet xmlns:r="http://schemas.openxmlformats.org/officeDocument/2006/relationships" name="July 2026 Update" sheetId="6" state="visible" r:id="rId6"/>
    <sheet xmlns:r="http://schemas.openxmlformats.org/officeDocument/2006/relationships" name="Alternatives" sheetId="7" state="visible" r:id="rId7"/>
    <sheet xmlns:r="http://schemas.openxmlformats.org/officeDocument/2006/relationships" name="Sources" sheetId="8" state="visible" r:id="rId8"/>
  </sheets>
  <definedNames/>
  <calcPr calcId="124519" fullCalcOnLoad="1"/>
</workbook>
</file>

<file path=xl/styles.xml><?xml version="1.0" encoding="utf-8"?>
<styleSheet xmlns="http://schemas.openxmlformats.org/spreadsheetml/2006/main">
  <numFmts count="9">
    <numFmt numFmtId="164" formatCode="#,##0&quot; sqft&quot;"/>
    <numFmt numFmtId="165" formatCode="$#,##0"/>
    <numFmt numFmtId="166" formatCode="0.0%"/>
    <numFmt numFmtId="167" formatCode="$#,##0.00"/>
    <numFmt numFmtId="168" formatCode="0.0"/>
    <numFmt numFmtId="169" formatCode="0.000000"/>
    <numFmt numFmtId="170" formatCode="0.00&quot;x&quot;"/>
    <numFmt numFmtId="171" formatCode="+0%;-0%"/>
    <numFmt numFmtId="172" formatCode="0.0&quot;x&quot;"/>
  </numFmts>
  <fonts count="7">
    <font>
      <name val="Calibri"/>
      <family val="2"/>
      <color theme="1"/>
      <sz val="11"/>
      <scheme val="minor"/>
    </font>
    <font>
      <name val="Calibri"/>
      <b val="1"/>
      <color rgb="00FFFFFF"/>
      <sz val="14"/>
    </font>
    <font>
      <name val="Calibri"/>
      <b val="1"/>
      <color rgb="001F1FD6"/>
      <sz val="11"/>
    </font>
    <font>
      <name val="Calibri"/>
      <color rgb="003B3B3B"/>
      <sz val="10"/>
    </font>
    <font>
      <name val="Calibri"/>
      <i val="1"/>
      <color rgb="00888888"/>
      <sz val="9"/>
    </font>
    <font>
      <name val="Calibri"/>
      <b val="1"/>
      <color rgb="003B3B3B"/>
      <sz val="10"/>
    </font>
    <font>
      <name val="Calibri"/>
      <b val="1"/>
      <color rgb="00FFFFFF"/>
      <sz val="10"/>
    </font>
  </fonts>
  <fills count="9">
    <fill>
      <patternFill/>
    </fill>
    <fill>
      <patternFill patternType="gray125"/>
    </fill>
    <fill>
      <patternFill patternType="solid">
        <fgColor rgb="001F1FD6"/>
      </patternFill>
    </fill>
    <fill>
      <patternFill patternType="solid">
        <fgColor rgb="00E8E8FF"/>
      </patternFill>
    </fill>
    <fill>
      <patternFill patternType="solid">
        <fgColor rgb="00FFF3CD"/>
      </patternFill>
    </fill>
    <fill>
      <patternFill patternType="solid">
        <fgColor rgb="00F5F5F5"/>
      </patternFill>
    </fill>
    <fill>
      <patternFill patternType="solid">
        <fgColor rgb="00D9D9FF"/>
      </patternFill>
    </fill>
    <fill>
      <patternFill patternType="solid">
        <fgColor rgb="00FADBD8"/>
      </patternFill>
    </fill>
    <fill>
      <patternFill patternType="solid">
        <fgColor rgb="00FDF2E9"/>
      </patternFill>
    </fill>
  </fills>
  <borders count="3">
    <border>
      <left/>
      <right/>
      <top/>
      <bottom/>
      <diagonal/>
    </border>
    <border>
      <top style="thin">
        <color rgb="00CCCCCC"/>
      </top>
      <bottom style="thin">
        <color rgb="00CCCCCC"/>
      </bottom>
    </border>
    <border>
      <left style="thin">
        <color rgb="00CCCCCC"/>
      </left>
      <right style="thin">
        <color rgb="00CCCCCC"/>
      </right>
      <top style="thin">
        <color rgb="00CCCCCC"/>
      </top>
      <bottom style="thin">
        <color rgb="00CCCCCC"/>
      </bottom>
    </border>
  </borders>
  <cellStyleXfs count="1">
    <xf numFmtId="0" fontId="0" fillId="0" borderId="0"/>
  </cellStyleXfs>
  <cellXfs count="66">
    <xf numFmtId="0" fontId="0" fillId="0" borderId="0" pivotButton="0" quotePrefix="0" xfId="0"/>
    <xf numFmtId="0" fontId="1" fillId="2" borderId="0" applyAlignment="1" pivotButton="0" quotePrefix="0" xfId="0">
      <alignment horizontal="left" vertical="center"/>
    </xf>
    <xf numFmtId="0" fontId="0" fillId="2" borderId="0" pivotButton="0" quotePrefix="0" xfId="0"/>
    <xf numFmtId="0" fontId="2" fillId="3" borderId="0" pivotButton="0" quotePrefix="0" xfId="0"/>
    <xf numFmtId="0" fontId="3" fillId="0" borderId="0" applyAlignment="1" pivotButton="0" quotePrefix="0" xfId="0">
      <alignment vertical="top" wrapText="1"/>
    </xf>
    <xf numFmtId="0" fontId="4" fillId="0" borderId="0" pivotButton="0" quotePrefix="0" xfId="0"/>
    <xf numFmtId="0" fontId="0" fillId="3" borderId="0" pivotButton="0" quotePrefix="0" xfId="0"/>
    <xf numFmtId="0" fontId="5" fillId="0" borderId="0" pivotButton="0" quotePrefix="0" xfId="0"/>
    <xf numFmtId="164" fontId="5" fillId="4" borderId="0" pivotButton="0" quotePrefix="0" xfId="0"/>
    <xf numFmtId="3" fontId="5" fillId="4" borderId="0" pivotButton="0" quotePrefix="0" xfId="0"/>
    <xf numFmtId="165" fontId="5" fillId="4" borderId="0" pivotButton="0" quotePrefix="0" xfId="0"/>
    <xf numFmtId="166" fontId="5" fillId="4" borderId="0" pivotButton="0" quotePrefix="0" xfId="0"/>
    <xf numFmtId="165" fontId="5" fillId="5" borderId="0" pivotButton="0" quotePrefix="0" xfId="0"/>
    <xf numFmtId="167" fontId="5" fillId="4" borderId="0" pivotButton="0" quotePrefix="0" xfId="0"/>
    <xf numFmtId="9" fontId="5" fillId="4" borderId="0" pivotButton="0" quotePrefix="0" xfId="0"/>
    <xf numFmtId="0" fontId="5" fillId="0" borderId="0" applyAlignment="1" pivotButton="0" quotePrefix="0" xfId="0">
      <alignment horizontal="right"/>
    </xf>
    <xf numFmtId="166" fontId="3" fillId="5" borderId="0" pivotButton="0" quotePrefix="0" xfId="0"/>
    <xf numFmtId="165" fontId="3" fillId="5" borderId="0" pivotButton="0" quotePrefix="0" xfId="0"/>
    <xf numFmtId="165" fontId="5" fillId="6" borderId="1" pivotButton="0" quotePrefix="0" xfId="0"/>
    <xf numFmtId="165" fontId="5" fillId="6" borderId="0" pivotButton="0" quotePrefix="0" xfId="0"/>
    <xf numFmtId="166" fontId="5" fillId="5" borderId="0" pivotButton="0" quotePrefix="0" xfId="0"/>
    <xf numFmtId="0" fontId="3" fillId="0" borderId="0" applyAlignment="1" pivotButton="0" quotePrefix="0" xfId="0">
      <alignment horizontal="right"/>
    </xf>
    <xf numFmtId="3" fontId="3" fillId="5" borderId="0" pivotButton="0" quotePrefix="0" xfId="0"/>
    <xf numFmtId="168" fontId="3" fillId="5" borderId="0" pivotButton="0" quotePrefix="0" xfId="0"/>
    <xf numFmtId="0" fontId="5" fillId="0" borderId="2" pivotButton="0" quotePrefix="0" xfId="0"/>
    <xf numFmtId="166" fontId="5" fillId="0" borderId="2" applyAlignment="1" pivotButton="0" quotePrefix="0" xfId="0">
      <alignment horizontal="right"/>
    </xf>
    <xf numFmtId="166" fontId="5" fillId="0" borderId="0" applyAlignment="1" pivotButton="0" quotePrefix="0" xfId="0">
      <alignment horizontal="right"/>
    </xf>
    <xf numFmtId="165" fontId="3" fillId="0" borderId="2" pivotButton="0" quotePrefix="0" xfId="0"/>
    <xf numFmtId="165" fontId="3" fillId="0" borderId="0" pivotButton="0" quotePrefix="0" xfId="0"/>
    <xf numFmtId="0" fontId="3" fillId="0" borderId="0" applyAlignment="1" pivotButton="0" quotePrefix="0" xfId="0">
      <alignment wrapText="1"/>
    </xf>
    <xf numFmtId="2" fontId="5" fillId="4" borderId="0" pivotButton="0" quotePrefix="0" xfId="0"/>
    <xf numFmtId="169" fontId="5" fillId="5" borderId="0" pivotButton="0" quotePrefix="0" xfId="0"/>
    <xf numFmtId="170" fontId="3" fillId="5" borderId="0" pivotButton="0" quotePrefix="0" xfId="0"/>
    <xf numFmtId="170" fontId="5" fillId="6" borderId="1" pivotButton="0" quotePrefix="0" xfId="0"/>
    <xf numFmtId="3" fontId="5" fillId="6" borderId="1" pivotButton="0" quotePrefix="0" xfId="0"/>
    <xf numFmtId="0" fontId="5" fillId="0" borderId="0" applyAlignment="1" pivotButton="0" quotePrefix="0" xfId="0">
      <alignment horizontal="right" wrapText="1"/>
    </xf>
    <xf numFmtId="171" fontId="3" fillId="5" borderId="0" pivotButton="0" quotePrefix="0" xfId="0"/>
    <xf numFmtId="3" fontId="5" fillId="5" borderId="0" pivotButton="0" quotePrefix="0" xfId="0"/>
    <xf numFmtId="170" fontId="5" fillId="5" borderId="0" pivotButton="0" quotePrefix="0" xfId="0"/>
    <xf numFmtId="9" fontId="5" fillId="5" borderId="0" pivotButton="0" quotePrefix="0" xfId="0"/>
    <xf numFmtId="168" fontId="5" fillId="5" borderId="0" pivotButton="0" quotePrefix="0" xfId="0"/>
    <xf numFmtId="10" fontId="5" fillId="4" borderId="0" pivotButton="0" quotePrefix="0" xfId="0"/>
    <xf numFmtId="10" fontId="3" fillId="5" borderId="0" pivotButton="0" quotePrefix="0" xfId="0"/>
    <xf numFmtId="169" fontId="3" fillId="5" borderId="0" pivotButton="0" quotePrefix="0" xfId="0"/>
    <xf numFmtId="168" fontId="5" fillId="4" borderId="0" pivotButton="0" quotePrefix="0" xfId="0"/>
    <xf numFmtId="0" fontId="6" fillId="2" borderId="0" applyAlignment="1" pivotButton="0" quotePrefix="0" xfId="0">
      <alignment horizontal="left" vertical="center" wrapText="1"/>
    </xf>
    <xf numFmtId="3" fontId="3" fillId="0" borderId="2" pivotButton="0" quotePrefix="0" xfId="0"/>
    <xf numFmtId="165" fontId="5" fillId="4" borderId="2" pivotButton="0" quotePrefix="0" xfId="0"/>
    <xf numFmtId="165" fontId="5" fillId="0" borderId="2" pivotButton="0" quotePrefix="0" xfId="0"/>
    <xf numFmtId="172" fontId="5" fillId="0" borderId="2" applyAlignment="1" pivotButton="0" quotePrefix="0" xfId="0">
      <alignment horizontal="right"/>
    </xf>
    <xf numFmtId="0" fontId="4" fillId="0" borderId="0" applyAlignment="1" pivotButton="0" quotePrefix="0" xfId="0">
      <alignment vertical="top" wrapText="1"/>
    </xf>
    <xf numFmtId="0" fontId="5" fillId="7" borderId="2" pivotButton="0" quotePrefix="0" xfId="0"/>
    <xf numFmtId="0" fontId="3" fillId="7" borderId="0" applyAlignment="1" pivotButton="0" quotePrefix="0" xfId="0">
      <alignment vertical="top" wrapText="1"/>
    </xf>
    <xf numFmtId="165" fontId="3" fillId="7" borderId="2" pivotButton="0" quotePrefix="0" xfId="0"/>
    <xf numFmtId="3" fontId="3" fillId="7" borderId="2" pivotButton="0" quotePrefix="0" xfId="0"/>
    <xf numFmtId="165" fontId="5" fillId="7" borderId="2" pivotButton="0" quotePrefix="0" xfId="0"/>
    <xf numFmtId="172" fontId="5" fillId="7" borderId="2" applyAlignment="1" pivotButton="0" quotePrefix="0" xfId="0">
      <alignment horizontal="right"/>
    </xf>
    <xf numFmtId="0" fontId="4" fillId="7" borderId="0" applyAlignment="1" pivotButton="0" quotePrefix="0" xfId="0">
      <alignment vertical="top" wrapText="1"/>
    </xf>
    <xf numFmtId="0" fontId="5" fillId="8" borderId="2" pivotButton="0" quotePrefix="0" xfId="0"/>
    <xf numFmtId="0" fontId="3" fillId="8" borderId="0" applyAlignment="1" pivotButton="0" quotePrefix="0" xfId="0">
      <alignment vertical="top" wrapText="1"/>
    </xf>
    <xf numFmtId="165" fontId="3" fillId="8" borderId="2" pivotButton="0" quotePrefix="0" xfId="0"/>
    <xf numFmtId="3" fontId="3" fillId="8" borderId="2" pivotButton="0" quotePrefix="0" xfId="0"/>
    <xf numFmtId="165" fontId="5" fillId="8" borderId="2" pivotButton="0" quotePrefix="0" xfId="0"/>
    <xf numFmtId="172" fontId="5" fillId="8" borderId="2" applyAlignment="1" pivotButton="0" quotePrefix="0" xfId="0">
      <alignment horizontal="right"/>
    </xf>
    <xf numFmtId="0" fontId="4" fillId="8" borderId="0" applyAlignment="1" pivotButton="0" quotePrefix="0" xfId="0">
      <alignment vertical="top" wrapText="1"/>
    </xf>
    <xf numFmtId="0" fontId="4" fillId="0" borderId="0" applyAlignment="1" pivotButton="0" quotePrefix="0" xfId="0">
      <alignment wrapText="1"/>
    </xf>
  </cellXfs>
  <cellStyles count="1">
    <cellStyle name="Normal" xfId="0" builtinId="0" hidden="0"/>
  </cellStyles>
  <dxfs count="1">
    <dxf>
      <fill>
        <patternFill patternType="solid">
          <fgColor rgb="00FDEDEC"/>
          <bgColor rgb="00FDED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17A</author>
  </authors>
  <commentList>
    <comment ref="B5" authorId="0" shapeId="0">
      <text>
        <t>La Marqueta flagship footprint per Mayor's announcement (April 14, 2026). The May 18, 2026 release and EDC portal carried 20,000 sqft for The Peninsula and 10,000 sqft minimums for the rest; the July 27, 2026 RFP respecifies the Peninsula at ~15,000 sqft and instructs bidders to assume 15,000 sqft selling for the unnamed sites — see the July 2026 Update tab (13,800 sqft average).</t>
      </text>
    </comment>
    <comment ref="B6" authorId="0" shapeId="0">
      <text>
        <t>One per borough per Mayor Mamdani's plan.</t>
      </text>
    </comment>
    <comment ref="B9" authorId="0" shapeId="0">
      <text>
        <t>FMI 2024 industry average was $965/sqft ($18.55/sqft/week); FMI 2025 puts it at $1,019 — see the July 2026 Update tab. Those figures reflect full-format 42k sqft supermarkets. Small-format stores in low-income neighborhoods without brand pull (Trader Joe's, WF Daily Shop) typically realize $400–600/sqft in their first years. Central case: $500.</t>
      </text>
    </comment>
    <comment ref="B10" authorId="0" shapeId="0">
      <text>
        <t>New stores typically open below stabilized revenue; 60% in Y1 is common.</t>
      </text>
    </comment>
    <comment ref="B12" authorId="0" shapeId="0">
      <text>
        <t>When this model was built (April 2026), the administration had named no percentage — campaign and April 2026 materials promised only 'wholesale prices' / passing on savings. 10% was this model's central-case assumption. On July 27, 2026 the administration announced 30% off a core basket (~15% off the average total bill, per City Hall) — see the July 2026 Update tab. This cell stays at the April central case; note that after the August 2026 re-audit (school meals, FRESH, SNAP count corrected; Alternatives tab rebuilt) the April piece's tables match this workbook only where that piece's banner says so. Discount applies to realized revenue line (price cut, not cost cut).</t>
      </text>
    </comment>
    <comment ref="B16" authorId="0" shapeId="0">
      <text>
        <t>FMI 2024: industry-average COGS ~72–73% at market prices. A municipal store without warehouse-club purchasing scale probably runs higher. 72% is charitable — it matches large-chain average despite small-format disadvantage.</t>
      </text>
    </comment>
    <comment ref="B17" authorId="0" shapeId="0">
      <text>
        <t>FMI industry avg labor ~11% of revenue. NYC prevailing wage adds ~15–25% to the base — ~12% of gross revenue is a charitable central case. Sensitivity range: 10–14%.</t>
      </text>
    </comment>
    <comment ref="B18" authorId="0" shapeId="0">
      <text>
        <t>FMI 2024 — utilities ~1.2%, shrink ~1.6%, insurance/tech/misc ~6%. Rent excluded (city-owned). ~9% ex-rent.</t>
      </text>
    </comment>
    <comment ref="B19" authorId="0" shapeId="0">
      <text>
        <t>Plan assumes no profit margin but private operator runs day-to-day. Operator fee ~$400k/yr covers management overhead. Plausible range $200–600k. July 2026 update: the operator RFP structures compensation as annual 'affordability payments' compensating the discount loss, sized by each bidder's own 'requests for subsidy' (a scored selection factor), on top of free rent, no property tax, and city-funded buildout. This model's loss-based subsidy is therefore CONSERVATIVE — full discount reimbursement would cost more (see the July 2026 Update tab's reimbursement-structure row and IMPLEMENTATION_LEDGER_2026-08.md).</t>
      </text>
    </comment>
    <comment ref="B22" authorId="0" shapeId="0">
      <text>
        <t>Retail rent in East Harlem / South Bronx: $40–60/sqft. $50 central case.</t>
      </text>
    </comment>
    <comment ref="B26" authorId="0" shapeId="0">
      <text>
        <t>Per Mayor's April 14, 2026 announcement. $30M for 9,000 sqft = $3,333/sqft. Benchmarks (corrected Aug 2026): grocery fit-out of existing space $117–211/sqft; ground-up national new-build ~$215–320/sqft; NYC all-in (hard + soft costs) plausibly $600–1,200/sqft. Against like-for-like NYC builds, La Marqueta runs roughly 3–6× — not the 6–22× an out-of-date $150–500 benchmark implied.</t>
      </text>
    </comment>
    <comment ref="B27" authorId="0" shapeId="0">
      <text>
        <t>Budget split implies $10M per store ($70M total − $30M flagship = $40M ÷ 4). These four will convert existing retail spaces rather than new construction (per Mayor's Office, April 2026), so actual per-store cost is probably lower — covering lease buyouts, tenant fit-outs, refrigeration, fixtures, inventory, working capital. Exact per-store figures not yet disclosed; adjust this cell as information becomes available.</t>
      </text>
    </comment>
    <comment ref="B31" authorId="0" shapeId="0">
      <text>
        <t>NYC municipal bond yields ~3.5–4.5% (2026). 4% central case.</t>
      </text>
    </comment>
    <comment ref="B34" authorId="0" shapeId="0">
      <text>
        <t>CACFP At-Risk afterschool supper rate, SY2025-26 — the closest funded stream for weekend meals at area-eligible sites, used here as the full-public-cost analog. Federal dollars are public money, so new meals are priced at the full rate, not the state increment. MEMO: the NY UFSM state top-up alone runs ~$0.35 per meal opportunity (~$0.86 per meal served on the FY26 $340M appropriation) — that was this cell's pre-August-2026 value, and it counted only the state's slice of a mostly-federal bill.</t>
      </text>
    </comment>
    <comment ref="B35" authorId="0" shapeId="0">
      <text>
        <t>2 meals/day × 2 weekend days × 40 school-year weekends = 160. Summer dropped (Aug 2026): NYC summer meals are already universal via SFSP, plus SUN Bucks EBT. CACFP At-Risk actually funds one meal + one snack per day — this row prices meals at the CACFP rate as a cost analog, not a claim that one stream covers all of them.</t>
      </text>
    </comment>
    <comment ref="B36" authorId="0" shapeId="0">
      <text>
        <t>Modest monthly supplement reduces benefits-cliff impact for families with kids.</t>
      </text>
    </comment>
    <comment ref="B37" authorId="0" shapeId="0">
      <text>
        <t>Costco Gold Star 2026.</t>
      </text>
    </comment>
    <comment ref="B38" authorId="0" shapeId="0">
      <text>
        <t>The documented evidence is percentage wedges, not dollars: club prices ran 20–35% below supermarket chains on a unit-price-matched basket (Consumers' Checkbook 2022), and Consumer Reports (2025 pricing) found Costco/BJ's ~21% below even Walmart. The dollar figure here is OUR conversion of those wedges at $4–6k/yr of food-at-home spend; $800–1,200 is the plausible range.</t>
      </text>
    </comment>
    <comment ref="B39" authorId="0" shapeId="0">
      <text>
        <t>OTDA SNAP caseloads dataset dq6j-8u8z (data.ny.gov), NYC (HRA-administered district), 2025 monthly average ≈ 1,069,000 households; recipients ≈ 1.77M, i.e. ~1.66 persons per SNAP household. Corrected Aug 2026 from 692,000, a survey-scale person/household mix-up misattributed to HRA.</t>
      </text>
    </comment>
    <comment ref="B40" authorId="0" shapeId="0">
      <text>
        <t>NYCHA conventional public housing ~298k residents (341k incl. PACT), ~20.7% school-age → ~62,000 students (NYCHA Fact Sheet 2025). Re-based August 2026 from the April model's 110,000.</t>
      </text>
    </comment>
    <comment ref="B41" authorId="0" shapeId="0">
      <text>
        <t>N.Y.C. Groceries vision plan, p. 14: NYC is 'home to more than 1,100 grocery stores and over 10,000 bodegas.'</t>
      </text>
    </comment>
    <comment ref="B42" authorId="0" shapeId="0">
      <text>
        <t>NYC Comptroller, Fiscal Note 4-2024 (Oct 2024): $29.2M in tax expenditures through FY2023 ÷ 27 tax-subsidized stores ≈ $1.08M/store (realized basis; 25-yr abatement commitments run higher). The '30 stores since 2009' and '$177M private capital' figures are NYCEDC program-page numbers, not the Comptroller's — the pre-Aug-2026 '$45M ÷ 30 = $1.5M' derivation appears in neither source.</t>
      </text>
    </comment>
    <comment ref="B46" authorId="0" shapeId="0">
      <text>
        <t>Central-case estimate: $600k/store/yr × 5 stores. Range: $1.5–$5M/yr depending on realized sales/sqft and discount.</t>
      </text>
    </comment>
    <comment ref="B50" authorId="0" shapeId="0">
      <text>
        <t>Census QuickFacts / ACS 2020–2024 5-yr: 3,334,088 NYC households. The deduped ceiling for any walking-distance reach claim.</t>
      </text>
    </comment>
    <comment ref="B51" authorId="0" shapeId="0">
      <text>
        <t>AUTHOR ASSUMPTION, not a documented rate. Documented analogs run wide: subsidized/discounted membership take-up 7–46%; necessity program take-up 75–88%. 70% is on the generous end; the row scales linearly if you disagree. Single source of truth — the July 2026 Update and Alternatives tabs both read this cell.</t>
      </text>
    </comment>
    <comment ref="B52" authorId="0" shapeId="0">
      <text>
        <t>Scenario context only; no formula reads this cell. Historic pace ~2/yr (27 tax-subsidized stores since 2009, Comptroller FN 4-2024). The July tab's same-money FRESH line runs ~15/yr — its own note carries the ceiling-not-forecast caveat.</t>
      </text>
    </comment>
    <comment ref="B53" authorId="0" shapeId="0">
      <text>
        <t>Catchment arithmetic double-counts overlapping catchments. NYC households beyond a half-mile walk to a supermarket per USDA FARA: ~143k all incomes, of which ~32k low-income.</t>
      </text>
    </comment>
    <comment ref="B54" authorId="0" shapeId="0">
      <text>
        <t>Author scenario ≈25× the documented program's distribution scale. Leverage is 1.0x by construction (direct $-for-$ match), so the ranking is scale-invariant.</t>
      </text>
    </comment>
    <comment ref="B55" authorId="0" shapeId="0">
      <text>
        <t>USDA FNS SNAP household characteristics; drives the supplement row's targeting.</t>
      </text>
    </comment>
  </commentList>
</comments>
</file>

<file path=xl/comments/comment2.xml><?xml version="1.0" encoding="utf-8"?>
<comments xmlns="http://schemas.openxmlformats.org/spreadsheetml/2006/main">
  <authors>
    <author>17A</author>
  </authors>
  <commentList>
    <comment ref="B5" authorId="0" shapeId="0">
      <text>
        <t>Mayor's Office, July 27, 2026. Vision plan wording is the operative one: basket items 'priced ON AVERAGE 30 percent below market prices' — a basket average, item-level variance allowed; no reference price index disclosed. Basket = all fresh produce, meats, seafood + select dairy, shelf-stable and frozen items (release: 'roughly 20 additional categories'). Pricing cadence is the RFP's, not the vision plan's: the RFP (pp. 12–13, 28) makes prices 'subject to monthly adjustments' and uniform across all five stores; the vision plan itself says prices change 'only periodically.' Non-basket items must be 'fairly priced' too — the operator can't recover the discount with margin elsewhere in the store. No income test. See IMPLEMENTATION_LEDGER_2026-08.md.</t>
      </text>
    </comment>
    <comment ref="B6" authorId="0" shapeId="0">
      <text>
        <t>Quoted figure, not a computed one (memo only — nothing downstream uses it). July 27, 2026 release: 'cut New Yorkers' average grocery bill by 15 percent, about $90 a month, or roughly $1,000 a year.'</t>
      </text>
    </comment>
    <comment ref="B7" authorId="0" shapeId="0">
      <text>
        <t>City Hall's own projection, July 27, 2026 release.</t>
      </text>
    </comment>
    <comment ref="B9" authorId="0" shapeId="0">
      <text>
        <t>(15,000 Peninsula/Bronx unit per RFP Appendix D — explicitly including elevator-accessible mezzanine storage — + 9,000 La Marqueta + 3 × 15,000 per RFP Appendix E, which instructs BK/QNS/SI bids to assume 'approximately 15,000 square feet of selling feet' [sic]) ÷ 5 = 13,800. Recentered August 2026 on the operative RFP; supersedes the 11,800 built from the releases (20k Peninsula marketing figure + 3 × 10k portal minimums). DEFINITIONAL CAVEAT: the Bronx 15,000 includes mezzanine storage and the five figures mix selling vs gross definitions, so the average is not pure selling area. Variant rows under Grid B carry the 11,800 (20k marketing reading) and 14,800 (20k + 9k + 3×15k) cases.</t>
      </text>
    </comment>
    <comment ref="B10" authorId="0" shapeId="0">
      <text>
        <t>FMI 2025 Food Industry Facts (released July 7, 2026): $19.59 per sqft per week × 52 ≈ $1,019. This is the demand-consistent central traffic for the ANNOUNCED plan: a store priced 30% below market is capacity-bound (the depth of the discount is the point, and it draws the crowd), so industry-average traffic is the floor of the plausible range, not an optimistic case. High-volume urban formats run far higher (Trader Joe's ~$2,000/sqft). The April model's $500 stays as the quiet-store scenario: a 10%-off store draws no queue.</t>
      </text>
    </comment>
    <comment ref="B11" authorId="0" shapeId="0">
      <text>
        <t>Census QuickFacts, 2020–2024 ACS: NYC average household size 2.48. Applied uniformly to convert households to New Yorkers. NYC SNAP households average ~1.66 persons (OTDA 2025), so this factor overstates people reached for SNAP-like populations; families with children run ~3+.</t>
      </text>
    </comment>
    <comment ref="B15" authorId="0" shapeId="0">
      <text>
        <t>No official sales-share figure exists; the record brackets it three ways (ledger): EDC board says discounted items ≈40% of store OFFERINGS (a SKU share, via NY1); an industry consultant estimates 70–80% of sales VOLUME (FoodNavigator); and City Hall's own savings math (30% basket cut → 15% average-bill cut) implies ~50% of a shopper's total SPEND. 60% of store sales stays the central case; the scenario columns bracket 50–100% share (the 25% blend column implies ~83%).</t>
      </text>
    </comment>
    <comment ref="B65" authorId="0" shapeId="0">
      <text>
        <t>USDA Food Access Research Atlas, half-mile distance test, all incomes — adopted as the right instrument for a walking city. The one-mile standard, calibrated for driving suburbs, returns ~0 for NYC and is rejected. The low-income core of this population is roughly 32,000 households (~80,000 people). ≈355,000 New Yorkers at the model's 2.48 persons per household (FARA's own person count for the same tracts is ~377,000).</t>
      </text>
    </comment>
    <comment ref="B66" authorId="0" shapeId="0">
      <text>
        <t>Census QuickFacts 2020–2024: 3,334,088 NYC households. The April table's 5M HH (10,000 bodegas × 500 HH walking distance) double-counts overlapping catchments — nearly every NYC household lives near a bodega, so citywide households is the honest ceiling.</t>
      </text>
    </comment>
    <comment ref="B78" authorId="0" shapeId="0">
      <text>
        <t>Researched components (research/economist-review_2026-08/RESEARCH_NOTES.md, 2026-08-06): equipment ≈$0 at year ten (DOE 2024 CRE final rule: 10-yr life in buildings &gt;5,000 sqft, 14-yr average across sizes; used food-retail equipment liquidates at 10–30 cents on the dollar; 5-yr MACRS, Rev. Proc. 87-56 class 57.0). Fit-out in leased space reverts to the landlord at the RFP's 10-yr base term. La Marqueta building at sold-retail market value: STNL sold median $309/sqft (Colliers 1H2025) × 9,000 sqft ≈ $2.8M. Low case = the building at the sold median only.</t>
      </text>
    </comment>
    <comment ref="B79" authorId="0" shapeId="0">
      <text>
        <t>High case = La Marqueta near its NYC replacement-cost cap ($600–1,200/sqft × 9,000 ≈ $5.4–10.8M) plus equipment salvage. The $30M row below is the GENEROUS bound (the full appropriation recovered at cost); the dark-store litigation record documents purpose-built retail routinely selling 50%+ below construction cost.</t>
      </text>
    </comment>
    <comment ref="B84" authorId="0" shapeId="0">
      <text>
        <t>$25–60 band, blended ~$40 by RFP square footage: Peninsula-complex retail asking $25/sqft (PropertyShark, Aug 2026); E 116th St comps $21 (second floor) to $80 (small ground-floor) with a big-box anchor discount; C&amp;W NYC-metro shopping-center average $37.32 (Q4 2025). Supersedes the April memo's unsourced $50 for THIS block; the April Assumptions memo cell is untouched (memo-only there).</t>
      </text>
    </comment>
    <comment ref="B92" authorId="0" shapeId="0">
      <text>
        <t>FRED T10YIE, 2026-08-06: 2.26%. Food-at-home CPI +2.7% y/y through June 2026 (USDA ERS). The transfer and the Affordability Payments are shares of nominal food sales, so they index with food prices; discounting indexed flows at the nominal rate is equivalent to discounting flat flows at the implied real rate. Context: NYC GO 10-yr tax-exempt priced at 3.61% on Aug 6, 2026 (Fiscal 2027 Series A official statement), so the model's 4% pin is if anything high against the city's actual 10-yr borrowing cost.</t>
      </text>
    </comment>
    <comment ref="B97" authorId="0" shapeId="0">
      <text>
        <t>Band 10–15 years: DOE 2024 CRE rule uses 10 years in &gt;5,000 sqft buildings (14-yr average across sizes); qualified improvement property carries a 15-yr recovery period; trade sources put commercial refrigeration at 10–15. Running the stores forever means replacing this fit-out forever.</t>
      </text>
    </comment>
  </commentList>
</comments>
</file>

<file path=xl/comments/comment3.xml><?xml version="1.0" encoding="utf-8"?>
<comments xmlns="http://schemas.openxmlformats.org/spreadsheetml/2006/main">
  <authors>
    <author>17A</author>
  </authors>
  <commentList>
    <comment ref="C6" authorId="0" shapeId="0">
      <text>
        <t>93 new stores × $1.08M public cost per store (Comptroller Fiscal Note 4-2024) ≈ $100M — the store count is chosen to normalize this row to a ~$100M ten-year envelope for comparability across rows.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6.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7.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FFBD3D"/>
    <outlinePr summaryBelow="1" summaryRight="1"/>
    <pageSetUpPr/>
  </sheetPr>
  <dimension ref="A1:B19"/>
  <sheetViews>
    <sheetView showGridLines="0" workbookViewId="0">
      <selection activeCell="A1" sqref="A1"/>
    </sheetView>
  </sheetViews>
  <sheetFormatPr baseColWidth="8" defaultRowHeight="15"/>
  <cols>
    <col width="95" customWidth="1" min="1" max="1"/>
  </cols>
  <sheetData>
    <row r="1" ht="26" customHeight="1">
      <c r="A1" s="1" t="inlineStr">
        <is>
          <t>NYC Public Grocery Plan — Financial Model</t>
        </is>
      </c>
      <c r="B1" s="2" t="n"/>
    </row>
    <row r="3">
      <c r="A3" s="3" t="inlineStr">
        <is>
          <t>What this is</t>
        </is>
      </c>
    </row>
    <row r="4" ht="60" customHeight="1">
      <c r="A4" s="4" t="inlineStr">
        <is>
          <t>A pro-forma P&amp;L for Mayor Mamdani's plan to build five city-owned grocery stores, stress-tested against the same budget spent on six alternative food-access interventions. Built to make the assumptions legible so any reader can disagree with a number, change it, and see where the conclusion moves.</t>
        </is>
      </c>
    </row>
    <row r="6">
      <c r="A6" s="3" t="inlineStr">
        <is>
          <t>How to use</t>
        </is>
      </c>
    </row>
    <row r="7" ht="60" customHeight="1">
      <c r="A7" s="4" t="inlineStr">
        <is>
          <t>Inputs live on the Assumptions tab (yellow fill). Downstream tabs are formula-driven from those inputs wherever feasible; the handful of scenario literals that remain are flagged in the notes where they occur. Each assumption has a cell-comment with its source.</t>
        </is>
      </c>
    </row>
    <row r="9">
      <c r="A9" s="3" t="inlineStr">
        <is>
          <t>Tabs</t>
        </is>
      </c>
    </row>
    <row r="10" ht="285" customHeight="1">
      <c r="A10" s="4" t="inlineStr">
        <is>
          <t>• Assumptions — all inputs, grouped and sourced.
• Per-Store P&amp;L — a single 9,000 sqft store over 10 years, with ramp.
• Five-Store Rollup — all five stores phased to the announced timeline.
• Sensitivity — steady-state operating result by sales/sqft and discount.
• July 2026 Update — the announced 30% core-basket discount: blended
  scenarios, per-store losses, leverage in today's dollars, horizon cases,
  and the same money spent other ways.
• Alternatives — six other interventions ranked against the plan at both
  of its centrals (the April piece's published reach × spend frame; the
  July 2026 Update tab carries the today's-dollars metric).
• Sources — full citation list.</t>
        </is>
      </c>
    </row>
    <row r="12">
      <c r="A12" s="3" t="inlineStr">
        <is>
          <t>Key sources</t>
        </is>
      </c>
    </row>
    <row r="13" ht="315" customHeight="1">
      <c r="A13" s="4" t="inlineStr">
        <is>
          <t>• NYCEDC, N.Y.C. Groceries Operator(s) RFP (July 2026) — footprints,
  affordability-payment structure, basket definition, pricing rules.
• N.Y.C. Groceries vision plan, 'A Recipe for Affordability' (July 27, 2026).
• FMI 2024/2025 Food Industry Facts — sales/sqft, margin, store sizes.
• USDA Thrifty Food Plan, 2025 monthly cost of food reports.
• NYS OTDA — SNAP caseloads, NYC (2025).
• NYC Comptroller, Fiscal Note 4-2024 (The FRESH Program, Oct 2024).
• NY Department of Labor — 2026 prevailing wage schedules.
• Company filings via stockanalysis.com — Kroger, Costco net margins.
• Mayor's Office, La Marqueta announcement (April 14, 2026).
• Mayor's Office, 30% core-basket discount announcement (July 27, 2026).
• Kansas City Sun Fresh closure (KCUR, 2025); Baldwin FL closure; Chicago municipal grocery shelved (Supermarket News, 2024).</t>
        </is>
      </c>
    </row>
    <row r="15">
      <c r="A15" s="3" t="inlineStr">
        <is>
          <t>Build info</t>
        </is>
      </c>
    </row>
    <row r="16" ht="30" customHeight="1">
      <c r="A16" s="4" t="inlineStr">
        <is>
          <t>Generated by gizmos/nyc-public-grocery-math/build_model.py in the gizmo-warehouse repo. Author: Joe Eichenbaum, 17A. Questions: joe@group17a.com.</t>
        </is>
      </c>
    </row>
    <row r="18">
      <c r="A18" s="3" t="inlineStr">
        <is>
          <t>Build fingerprint</t>
        </is>
      </c>
    </row>
    <row r="19" ht="45" customHeight="1">
      <c r="A19" s="4" t="inlineStr">
        <is>
          <t>build fingerprint (sha256 of build_model.py at build time): af745445d623f81aabc5ab187b89718f9fb7b264847bd795ae57987d8b0a7342. Regenerate the workbook after any change to the script — the verification gate compares this stamp against the script on disk.</t>
        </is>
      </c>
    </row>
  </sheetData>
  <pageMargins left="0.75" right="0.75" top="1" bottom="1" header="0.5" footer="0.5"/>
</worksheet>
</file>

<file path=xl/worksheets/sheet2.xml><?xml version="1.0" encoding="utf-8"?>
<worksheet xmlns="http://schemas.openxmlformats.org/spreadsheetml/2006/main">
  <sheetPr>
    <tabColor rgb="003B3B3B"/>
    <outlinePr summaryBelow="1" summaryRight="1"/>
    <pageSetUpPr/>
  </sheetPr>
  <dimension ref="A1:C55"/>
  <sheetViews>
    <sheetView showGridLines="0" workbookViewId="0">
      <selection activeCell="A1" sqref="A1"/>
    </sheetView>
  </sheetViews>
  <sheetFormatPr baseColWidth="8" defaultRowHeight="15"/>
  <cols>
    <col width="44" customWidth="1" min="1" max="1"/>
    <col width="14" customWidth="1" min="2" max="2"/>
    <col width="70" customWidth="1" min="3" max="3"/>
  </cols>
  <sheetData>
    <row r="1" ht="26" customHeight="1">
      <c r="A1" s="1" t="inlineStr">
        <is>
          <t>Assumptions — all inputs in yellow</t>
        </is>
      </c>
      <c r="B1" s="2" t="n"/>
      <c r="C1" s="2" t="n"/>
    </row>
    <row r="2">
      <c r="A2" s="5" t="inlineStr">
        <is>
          <t>Change any yellow cell and downstream tabs update.</t>
        </is>
      </c>
    </row>
    <row r="4">
      <c r="A4" s="3" t="inlineStr">
        <is>
          <t>Store physical</t>
        </is>
      </c>
      <c r="B4" s="6" t="n"/>
      <c r="C4" s="6" t="n"/>
    </row>
    <row r="5">
      <c r="A5" s="7" t="inlineStr">
        <is>
          <t>Selling square footage per store</t>
        </is>
      </c>
      <c r="B5" s="8" t="n">
        <v>9000</v>
      </c>
      <c r="C5" s="5" t="inlineStr">
        <is>
          <t>FMI industry average full-format store: ~42,000 sqft.</t>
        </is>
      </c>
    </row>
    <row r="6">
      <c r="A6" s="7" t="inlineStr">
        <is>
          <t>Number of stores (plan)</t>
        </is>
      </c>
      <c r="B6" s="9" t="n">
        <v>5</v>
      </c>
      <c r="C6" s="5" t="inlineStr">
        <is>
          <t>Phased 2027–2029.</t>
        </is>
      </c>
    </row>
    <row r="8">
      <c r="A8" s="3" t="inlineStr">
        <is>
          <t>Revenue assumptions</t>
        </is>
      </c>
      <c r="B8" s="6" t="n"/>
      <c r="C8" s="6" t="n"/>
    </row>
    <row r="9">
      <c r="A9" s="7" t="inlineStr">
        <is>
          <t>Steady-state revenue per sqft ($/yr)</t>
        </is>
      </c>
      <c r="B9" s="10" t="n">
        <v>500</v>
      </c>
      <c r="C9" s="5" t="inlineStr">
        <is>
          <t>Industry avg: $1,019/sqft (FMI 2025; $965 in FMI 2024). Small-format realistic: $400–600.</t>
        </is>
      </c>
    </row>
    <row r="10">
      <c r="A10" s="7" t="inlineStr">
        <is>
          <t>Year 1 ramp (% of steady-state)</t>
        </is>
      </c>
      <c r="B10" s="11" t="n">
        <v>0.6</v>
      </c>
    </row>
    <row r="11">
      <c r="A11" s="7" t="inlineStr">
        <is>
          <t>Year 2 ramp (% of steady-state)</t>
        </is>
      </c>
      <c r="B11" s="11" t="n">
        <v>0.8</v>
      </c>
    </row>
    <row r="12">
      <c r="A12" s="7" t="inlineStr">
        <is>
          <t>Discount to shoppers vs. market price</t>
        </is>
      </c>
      <c r="B12" s="11" t="n">
        <v>0.1</v>
      </c>
      <c r="C12" s="5" t="inlineStr">
        <is>
          <t>No official % existed pre-July 2026. Announced 2026-07-27: 30% core basket — see July 2026 Update tab.</t>
        </is>
      </c>
    </row>
    <row r="14">
      <c r="A14" s="3" t="inlineStr">
        <is>
          <t>Cost structure (% of GROSS revenue — i.e., at market prices)</t>
        </is>
      </c>
      <c r="B14" s="6" t="n"/>
      <c r="C14" s="6" t="n"/>
    </row>
    <row r="15">
      <c r="C15" s="5" t="inlineStr">
        <is>
          <t>Costs are per-unit. Applying a shopper discount reduces revenue but not cost of goods. All cost %s are anchored to gross (pre-discount) revenue so the discount flows through to margin correctly.</t>
        </is>
      </c>
    </row>
    <row r="16">
      <c r="A16" s="7" t="inlineStr">
        <is>
          <t>COGS (% of gross revenue)</t>
        </is>
      </c>
      <c r="B16" s="11" t="n">
        <v>0.72</v>
      </c>
    </row>
    <row r="17">
      <c r="A17" s="7" t="inlineStr">
        <is>
          <t>Labor (% of gross revenue)</t>
        </is>
      </c>
      <c r="B17" s="11" t="n">
        <v>0.12</v>
      </c>
    </row>
    <row r="18">
      <c r="A18" s="7" t="inlineStr">
        <is>
          <t>Other opex (utilities, shrink, insurance, tech) — ex rent</t>
        </is>
      </c>
      <c r="B18" s="11" t="n">
        <v>0.09</v>
      </c>
    </row>
    <row r="19">
      <c r="A19" s="7" t="inlineStr">
        <is>
          <t>Private operator fee (annual, per store)</t>
        </is>
      </c>
      <c r="B19" s="10" t="n">
        <v>400000</v>
      </c>
    </row>
    <row r="21">
      <c r="A21" s="3" t="inlineStr">
        <is>
          <t>Rent savings (memo only — city-owned land)</t>
        </is>
      </c>
      <c r="B21" s="6" t="n"/>
      <c r="C21" s="6" t="n"/>
    </row>
    <row r="22">
      <c r="A22" s="7" t="inlineStr">
        <is>
          <t>Market-rate rent comp ($/sqft/yr)</t>
        </is>
      </c>
      <c r="B22" s="10" t="n">
        <v>50</v>
      </c>
    </row>
    <row r="23">
      <c r="A23" s="7" t="inlineStr">
        <is>
          <t>Implied annual rent avoided (per store)</t>
        </is>
      </c>
      <c r="B23" s="12">
        <f>Assumptions!$B$22*Assumptions!$B$5</f>
        <v/>
      </c>
    </row>
    <row r="25">
      <c r="A25" s="3" t="inlineStr">
        <is>
          <t>Capital cost</t>
        </is>
      </c>
      <c r="B25" s="6" t="n"/>
      <c r="C25" s="6" t="n"/>
    </row>
    <row r="26">
      <c r="A26" s="7" t="inlineStr">
        <is>
          <t>Capex — La Marqueta flagship</t>
        </is>
      </c>
      <c r="B26" s="10" t="n">
        <v>30000000</v>
      </c>
    </row>
    <row r="27">
      <c r="A27" s="7" t="inlineStr">
        <is>
          <t>Capex — other four stores (avg)</t>
        </is>
      </c>
      <c r="B27" s="10" t="n">
        <v>10000000</v>
      </c>
    </row>
    <row r="28">
      <c r="A28" s="7" t="inlineStr">
        <is>
          <t>Implied capex per sqft — flagship</t>
        </is>
      </c>
      <c r="B28" s="12">
        <f>Assumptions!$B$26/Assumptions!$B$5</f>
        <v/>
      </c>
      <c r="C28" s="5" t="inlineStr">
        <is>
          <t>Benchmarks: fit-out $117–211/sqft; ground-up national ~$215–320; NYC all-in plausibly $600–1,200.</t>
        </is>
      </c>
    </row>
    <row r="30">
      <c r="A30" s="3" t="inlineStr">
        <is>
          <t>Discounting</t>
        </is>
      </c>
      <c r="B30" s="6" t="n"/>
      <c r="C30" s="6" t="n"/>
    </row>
    <row r="31">
      <c r="A31" s="7" t="inlineStr">
        <is>
          <t>Municipal discount rate (for NPV)</t>
        </is>
      </c>
      <c r="B31" s="11" t="n">
        <v>0.04</v>
      </c>
    </row>
    <row r="33">
      <c r="A33" s="3" t="inlineStr">
        <is>
          <t>Alternatives — unit costs &amp; reach</t>
        </is>
      </c>
      <c r="B33" s="6" t="n"/>
      <c r="C33" s="6" t="n"/>
    </row>
    <row r="34">
      <c r="A34" s="7" t="inlineStr">
        <is>
          <t>School meals — full public cost per new meal</t>
        </is>
      </c>
      <c r="B34" s="13" t="n">
        <v>4.91</v>
      </c>
      <c r="C34" s="5" t="inlineStr">
        <is>
          <t>Full public cost. The state UFSM top-up (~$0.35–0.86/meal) is memo only, no longer used in any row.</t>
        </is>
      </c>
    </row>
    <row r="35">
      <c r="A35" s="7" t="inlineStr">
        <is>
          <t>Meals per kid per year (weekend expansion)</t>
        </is>
      </c>
      <c r="B35" s="9" t="n">
        <v>160</v>
      </c>
    </row>
    <row r="36">
      <c r="A36" s="7" t="inlineStr">
        <is>
          <t>SNAP top-up per household per month</t>
        </is>
      </c>
      <c r="B36" s="10" t="n">
        <v>20</v>
      </c>
    </row>
    <row r="37">
      <c r="A37" s="7" t="inlineStr">
        <is>
          <t>Warehouse-club annual membership (Costco Gold Star)</t>
        </is>
      </c>
      <c r="B37" s="10" t="n">
        <v>65</v>
      </c>
    </row>
    <row r="38">
      <c r="A38" s="7" t="inlineStr">
        <is>
          <t>Avg household grocery savings from warehouse club (memo — not wired)</t>
        </is>
      </c>
      <c r="B38" s="10" t="n">
        <v>1000</v>
      </c>
    </row>
    <row r="39">
      <c r="A39" s="7" t="inlineStr">
        <is>
          <t>NYC SNAP households (total)</t>
        </is>
      </c>
      <c r="B39" s="9" t="n">
        <v>1069000</v>
      </c>
    </row>
    <row r="40">
      <c r="A40" s="7" t="inlineStr">
        <is>
          <t>NYCHA students (weekend school-meals row)</t>
        </is>
      </c>
      <c r="B40" s="9" t="n">
        <v>62000</v>
      </c>
      <c r="C40" s="5" t="inlineStr">
        <is>
          <t>Drives the Alternatives tab's weekend school-meals row (priced at full public cost).</t>
        </is>
      </c>
    </row>
    <row r="41">
      <c r="A41" s="7" t="inlineStr">
        <is>
          <t>Bodegas in NYC</t>
        </is>
      </c>
      <c r="B41" s="9" t="n">
        <v>10000</v>
      </c>
    </row>
    <row r="42">
      <c r="A42" s="7" t="inlineStr">
        <is>
          <t>FRESH program public cost per new store</t>
        </is>
      </c>
      <c r="B42" s="10" t="n">
        <v>1080000</v>
      </c>
    </row>
    <row r="44">
      <c r="A44" s="3" t="inlineStr">
        <is>
          <t>Comparison budget envelope (5-store plan footprint)</t>
        </is>
      </c>
      <c r="B44" s="6" t="n"/>
      <c r="C44" s="6" t="n"/>
    </row>
    <row r="45">
      <c r="A45" s="7" t="inlineStr">
        <is>
          <t>Total capex (5 stores)</t>
        </is>
      </c>
      <c r="B45" s="12">
        <f>Assumptions!$B$26+4*Assumptions!$B$27</f>
        <v/>
      </c>
    </row>
    <row r="46">
      <c r="A46" s="7" t="inlineStr">
        <is>
          <t>Annual operating subsidy (midpoint estimate)</t>
        </is>
      </c>
      <c r="B46" s="10" t="n">
        <v>3000000</v>
      </c>
    </row>
    <row r="47">
      <c r="A47" s="7" t="inlineStr">
        <is>
          <t>10-yr total budget (capex + 10×opex)</t>
        </is>
      </c>
      <c r="B47" s="12">
        <f>Assumptions!$B$45+10*Assumptions!$B$46</f>
        <v/>
      </c>
    </row>
    <row r="49">
      <c r="A49" s="3" t="inlineStr">
        <is>
          <t>Alternatives — reach &amp; pace inputs (added Aug 2026)</t>
        </is>
      </c>
      <c r="B49" s="6" t="n"/>
      <c r="C49" s="6" t="n"/>
    </row>
    <row r="50">
      <c r="A50" s="7" t="inlineStr">
        <is>
          <t>NYC total households</t>
        </is>
      </c>
      <c r="B50" s="9" t="n">
        <v>3334088</v>
      </c>
    </row>
    <row r="51">
      <c r="A51" s="7" t="inlineStr">
        <is>
          <t>Warehouse-club utilization (author assumption)</t>
        </is>
      </c>
      <c r="B51" s="14" t="n">
        <v>0.7</v>
      </c>
    </row>
    <row r="52">
      <c r="A52" s="7" t="inlineStr">
        <is>
          <t>FRESH pace — new stores per decade (memo — not wired to any calculation)</t>
        </is>
      </c>
      <c r="B52" s="9" t="n">
        <v>50</v>
      </c>
    </row>
    <row r="53">
      <c r="A53" s="7" t="inlineStr">
        <is>
          <t>FRESH catchment per store (HH within walking distance; memo — not wired)</t>
        </is>
      </c>
      <c r="B53" s="9" t="n">
        <v>15000</v>
      </c>
    </row>
    <row r="54">
      <c r="A54" s="7" t="inlineStr">
        <is>
          <t>Health Bucks expansion participants (scenario)</t>
        </is>
      </c>
      <c r="B54" s="9" t="n">
        <v>200000</v>
      </c>
    </row>
    <row r="55">
      <c r="A55" s="7" t="inlineStr">
        <is>
          <t>Share of SNAP households with kids</t>
        </is>
      </c>
      <c r="B55" s="14" t="n">
        <v>0.4</v>
      </c>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3B3B3B"/>
    <outlinePr summaryBelow="1" summaryRight="1"/>
    <pageSetUpPr/>
  </sheetPr>
  <dimension ref="A1:L2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ht="26" customHeight="1">
      <c r="A1" s="1" t="inlineStr">
        <is>
          <t>Per-store 10-year P&amp;L (single 9,000 sqft store)</t>
        </is>
      </c>
      <c r="B1" s="2" t="n"/>
      <c r="C1" s="2" t="n"/>
      <c r="D1" s="2" t="n"/>
      <c r="E1" s="2" t="n"/>
      <c r="F1" s="2" t="n"/>
      <c r="G1" s="2" t="n"/>
      <c r="H1" s="2" t="n"/>
      <c r="I1" s="2" t="n"/>
      <c r="J1" s="2" t="n"/>
      <c r="K1" s="2" t="n"/>
      <c r="L1" s="2" t="n"/>
    </row>
    <row r="2">
      <c r="A2" s="5" t="inlineStr">
        <is>
          <t>All lines pulled from Assumptions. Year 0 = pre-opening capex.</t>
        </is>
      </c>
    </row>
    <row r="4">
      <c r="A4" s="7" t="inlineStr">
        <is>
          <t>Year</t>
        </is>
      </c>
      <c r="B4" s="15" t="n">
        <v>0</v>
      </c>
      <c r="C4" s="15" t="n">
        <v>1</v>
      </c>
      <c r="D4" s="15" t="n">
        <v>2</v>
      </c>
      <c r="E4" s="15" t="n">
        <v>3</v>
      </c>
      <c r="F4" s="15" t="n">
        <v>4</v>
      </c>
      <c r="G4" s="15" t="n">
        <v>5</v>
      </c>
      <c r="H4" s="15" t="n">
        <v>6</v>
      </c>
      <c r="I4" s="15" t="n">
        <v>7</v>
      </c>
      <c r="J4" s="15" t="n">
        <v>8</v>
      </c>
      <c r="K4" s="15" t="n">
        <v>9</v>
      </c>
      <c r="L4" s="15" t="n">
        <v>10</v>
      </c>
    </row>
    <row r="5">
      <c r="A5" s="7" t="inlineStr">
        <is>
          <t>Ramp factor</t>
        </is>
      </c>
      <c r="B5" s="16" t="n">
        <v>0</v>
      </c>
      <c r="C5" s="16">
        <f>Assumptions!$B$10</f>
        <v/>
      </c>
      <c r="D5" s="16">
        <f>Assumptions!$B$11</f>
        <v/>
      </c>
      <c r="E5" s="16" t="n">
        <v>1</v>
      </c>
      <c r="F5" s="16" t="n">
        <v>1</v>
      </c>
      <c r="G5" s="16" t="n">
        <v>1</v>
      </c>
      <c r="H5" s="16" t="n">
        <v>1</v>
      </c>
      <c r="I5" s="16" t="n">
        <v>1</v>
      </c>
      <c r="J5" s="16" t="n">
        <v>1</v>
      </c>
      <c r="K5" s="16" t="n">
        <v>1</v>
      </c>
      <c r="L5" s="16" t="n">
        <v>1</v>
      </c>
    </row>
    <row r="7">
      <c r="A7" s="7" t="inlineStr">
        <is>
          <t>Gross revenue (pre-discount)</t>
        </is>
      </c>
      <c r="B7" s="17" t="n">
        <v>0</v>
      </c>
      <c r="C7" s="17">
        <f>Assumptions!$B$5*Assumptions!$B$9*C5</f>
        <v/>
      </c>
      <c r="D7" s="17">
        <f>Assumptions!$B$5*Assumptions!$B$9*D5</f>
        <v/>
      </c>
      <c r="E7" s="17">
        <f>Assumptions!$B$5*Assumptions!$B$9*E5</f>
        <v/>
      </c>
      <c r="F7" s="17">
        <f>Assumptions!$B$5*Assumptions!$B$9*F5</f>
        <v/>
      </c>
      <c r="G7" s="17">
        <f>Assumptions!$B$5*Assumptions!$B$9*G5</f>
        <v/>
      </c>
      <c r="H7" s="17">
        <f>Assumptions!$B$5*Assumptions!$B$9*H5</f>
        <v/>
      </c>
      <c r="I7" s="17">
        <f>Assumptions!$B$5*Assumptions!$B$9*I5</f>
        <v/>
      </c>
      <c r="J7" s="17">
        <f>Assumptions!$B$5*Assumptions!$B$9*J5</f>
        <v/>
      </c>
      <c r="K7" s="17">
        <f>Assumptions!$B$5*Assumptions!$B$9*K5</f>
        <v/>
      </c>
      <c r="L7" s="17">
        <f>Assumptions!$B$5*Assumptions!$B$9*L5</f>
        <v/>
      </c>
    </row>
    <row r="8">
      <c r="A8" s="7" t="inlineStr">
        <is>
          <t>Less: shopper discount</t>
        </is>
      </c>
      <c r="B8" s="17">
        <f>-B7*Assumptions!$B$12</f>
        <v/>
      </c>
      <c r="C8" s="17">
        <f>-C7*Assumptions!$B$12</f>
        <v/>
      </c>
      <c r="D8" s="17">
        <f>-D7*Assumptions!$B$12</f>
        <v/>
      </c>
      <c r="E8" s="17">
        <f>-E7*Assumptions!$B$12</f>
        <v/>
      </c>
      <c r="F8" s="17">
        <f>-F7*Assumptions!$B$12</f>
        <v/>
      </c>
      <c r="G8" s="17">
        <f>-G7*Assumptions!$B$12</f>
        <v/>
      </c>
      <c r="H8" s="17">
        <f>-H7*Assumptions!$B$12</f>
        <v/>
      </c>
      <c r="I8" s="17">
        <f>-I7*Assumptions!$B$12</f>
        <v/>
      </c>
      <c r="J8" s="17">
        <f>-J7*Assumptions!$B$12</f>
        <v/>
      </c>
      <c r="K8" s="17">
        <f>-K7*Assumptions!$B$12</f>
        <v/>
      </c>
      <c r="L8" s="17">
        <f>-L7*Assumptions!$B$12</f>
        <v/>
      </c>
    </row>
    <row r="9">
      <c r="A9" s="7" t="inlineStr">
        <is>
          <t>Net revenue</t>
        </is>
      </c>
      <c r="B9" s="18">
        <f>B7+B8</f>
        <v/>
      </c>
      <c r="C9" s="18">
        <f>C7+C8</f>
        <v/>
      </c>
      <c r="D9" s="18">
        <f>D7+D8</f>
        <v/>
      </c>
      <c r="E9" s="18">
        <f>E7+E8</f>
        <v/>
      </c>
      <c r="F9" s="18">
        <f>F7+F8</f>
        <v/>
      </c>
      <c r="G9" s="18">
        <f>G7+G8</f>
        <v/>
      </c>
      <c r="H9" s="18">
        <f>H7+H8</f>
        <v/>
      </c>
      <c r="I9" s="18">
        <f>I7+I8</f>
        <v/>
      </c>
      <c r="J9" s="18">
        <f>J7+J8</f>
        <v/>
      </c>
      <c r="K9" s="18">
        <f>K7+K8</f>
        <v/>
      </c>
      <c r="L9" s="18">
        <f>L7+L8</f>
        <v/>
      </c>
    </row>
    <row r="11">
      <c r="A11" s="7" t="inlineStr">
        <is>
          <t>COGS (% of gross)</t>
        </is>
      </c>
      <c r="B11" s="17">
        <f>-B7*Assumptions!$B$16</f>
        <v/>
      </c>
      <c r="C11" s="17">
        <f>-C7*Assumptions!$B$16</f>
        <v/>
      </c>
      <c r="D11" s="17">
        <f>-D7*Assumptions!$B$16</f>
        <v/>
      </c>
      <c r="E11" s="17">
        <f>-E7*Assumptions!$B$16</f>
        <v/>
      </c>
      <c r="F11" s="17">
        <f>-F7*Assumptions!$B$16</f>
        <v/>
      </c>
      <c r="G11" s="17">
        <f>-G7*Assumptions!$B$16</f>
        <v/>
      </c>
      <c r="H11" s="17">
        <f>-H7*Assumptions!$B$16</f>
        <v/>
      </c>
      <c r="I11" s="17">
        <f>-I7*Assumptions!$B$16</f>
        <v/>
      </c>
      <c r="J11" s="17">
        <f>-J7*Assumptions!$B$16</f>
        <v/>
      </c>
      <c r="K11" s="17">
        <f>-K7*Assumptions!$B$16</f>
        <v/>
      </c>
      <c r="L11" s="17">
        <f>-L7*Assumptions!$B$16</f>
        <v/>
      </c>
    </row>
    <row r="12">
      <c r="A12" s="7" t="inlineStr">
        <is>
          <t>Gross margin</t>
        </is>
      </c>
      <c r="B12" s="12">
        <f>B9+B11</f>
        <v/>
      </c>
      <c r="C12" s="12">
        <f>C9+C11</f>
        <v/>
      </c>
      <c r="D12" s="12">
        <f>D9+D11</f>
        <v/>
      </c>
      <c r="E12" s="12">
        <f>E9+E11</f>
        <v/>
      </c>
      <c r="F12" s="12">
        <f>F9+F11</f>
        <v/>
      </c>
      <c r="G12" s="12">
        <f>G9+G11</f>
        <v/>
      </c>
      <c r="H12" s="12">
        <f>H9+H11</f>
        <v/>
      </c>
      <c r="I12" s="12">
        <f>I9+I11</f>
        <v/>
      </c>
      <c r="J12" s="12">
        <f>J9+J11</f>
        <v/>
      </c>
      <c r="K12" s="12">
        <f>K9+K11</f>
        <v/>
      </c>
      <c r="L12" s="12">
        <f>L9+L11</f>
        <v/>
      </c>
    </row>
    <row r="14">
      <c r="A14" s="7" t="inlineStr">
        <is>
          <t>Labor (% of gross)</t>
        </is>
      </c>
      <c r="B14" s="17">
        <f>-B7*Assumptions!$B$17</f>
        <v/>
      </c>
      <c r="C14" s="17">
        <f>-C7*Assumptions!$B$17</f>
        <v/>
      </c>
      <c r="D14" s="17">
        <f>-D7*Assumptions!$B$17</f>
        <v/>
      </c>
      <c r="E14" s="17">
        <f>-E7*Assumptions!$B$17</f>
        <v/>
      </c>
      <c r="F14" s="17">
        <f>-F7*Assumptions!$B$17</f>
        <v/>
      </c>
      <c r="G14" s="17">
        <f>-G7*Assumptions!$B$17</f>
        <v/>
      </c>
      <c r="H14" s="17">
        <f>-H7*Assumptions!$B$17</f>
        <v/>
      </c>
      <c r="I14" s="17">
        <f>-I7*Assumptions!$B$17</f>
        <v/>
      </c>
      <c r="J14" s="17">
        <f>-J7*Assumptions!$B$17</f>
        <v/>
      </c>
      <c r="K14" s="17">
        <f>-K7*Assumptions!$B$17</f>
        <v/>
      </c>
      <c r="L14" s="17">
        <f>-L7*Assumptions!$B$17</f>
        <v/>
      </c>
    </row>
    <row r="15">
      <c r="A15" s="7" t="inlineStr">
        <is>
          <t>Other opex (utilities, shrink, insurance) — % of gross</t>
        </is>
      </c>
      <c r="B15" s="17">
        <f>-B7*Assumptions!$B$18</f>
        <v/>
      </c>
      <c r="C15" s="17">
        <f>-C7*Assumptions!$B$18</f>
        <v/>
      </c>
      <c r="D15" s="17">
        <f>-D7*Assumptions!$B$18</f>
        <v/>
      </c>
      <c r="E15" s="17">
        <f>-E7*Assumptions!$B$18</f>
        <v/>
      </c>
      <c r="F15" s="17">
        <f>-F7*Assumptions!$B$18</f>
        <v/>
      </c>
      <c r="G15" s="17">
        <f>-G7*Assumptions!$B$18</f>
        <v/>
      </c>
      <c r="H15" s="17">
        <f>-H7*Assumptions!$B$18</f>
        <v/>
      </c>
      <c r="I15" s="17">
        <f>-I7*Assumptions!$B$18</f>
        <v/>
      </c>
      <c r="J15" s="17">
        <f>-J7*Assumptions!$B$18</f>
        <v/>
      </c>
      <c r="K15" s="17">
        <f>-K7*Assumptions!$B$18</f>
        <v/>
      </c>
      <c r="L15" s="17">
        <f>-L7*Assumptions!$B$18</f>
        <v/>
      </c>
    </row>
    <row r="16">
      <c r="A16" s="7" t="inlineStr">
        <is>
          <t>Private operator fee</t>
        </is>
      </c>
      <c r="B16" s="17" t="n">
        <v>0</v>
      </c>
      <c r="C16" s="17">
        <f>-Assumptions!$B$19</f>
        <v/>
      </c>
      <c r="D16" s="17">
        <f>-Assumptions!$B$19</f>
        <v/>
      </c>
      <c r="E16" s="17">
        <f>-Assumptions!$B$19</f>
        <v/>
      </c>
      <c r="F16" s="17">
        <f>-Assumptions!$B$19</f>
        <v/>
      </c>
      <c r="G16" s="17">
        <f>-Assumptions!$B$19</f>
        <v/>
      </c>
      <c r="H16" s="17">
        <f>-Assumptions!$B$19</f>
        <v/>
      </c>
      <c r="I16" s="17">
        <f>-Assumptions!$B$19</f>
        <v/>
      </c>
      <c r="J16" s="17">
        <f>-Assumptions!$B$19</f>
        <v/>
      </c>
      <c r="K16" s="17">
        <f>-Assumptions!$B$19</f>
        <v/>
      </c>
      <c r="L16" s="17">
        <f>-Assumptions!$B$19</f>
        <v/>
      </c>
    </row>
    <row r="18">
      <c r="A18" s="7" t="inlineStr">
        <is>
          <t>Operating result</t>
        </is>
      </c>
      <c r="B18" s="18">
        <f>B12+B14+B15+B16</f>
        <v/>
      </c>
      <c r="C18" s="18">
        <f>C12+C14+C15+C16</f>
        <v/>
      </c>
      <c r="D18" s="18">
        <f>D12+D14+D15+D16</f>
        <v/>
      </c>
      <c r="E18" s="18">
        <f>E12+E14+E15+E16</f>
        <v/>
      </c>
      <c r="F18" s="18">
        <f>F12+F14+F15+F16</f>
        <v/>
      </c>
      <c r="G18" s="18">
        <f>G12+G14+G15+G16</f>
        <v/>
      </c>
      <c r="H18" s="18">
        <f>H12+H14+H15+H16</f>
        <v/>
      </c>
      <c r="I18" s="18">
        <f>I12+I14+I15+I16</f>
        <v/>
      </c>
      <c r="J18" s="18">
        <f>J12+J14+J15+J16</f>
        <v/>
      </c>
      <c r="K18" s="18">
        <f>K12+K14+K15+K16</f>
        <v/>
      </c>
      <c r="L18" s="18">
        <f>L12+L14+L15+L16</f>
        <v/>
      </c>
    </row>
    <row r="20">
      <c r="A20" s="7" t="inlineStr">
        <is>
          <t>Capex (flagship)</t>
        </is>
      </c>
      <c r="B20" s="17">
        <f>-Assumptions!$B$26</f>
        <v/>
      </c>
      <c r="C20" s="17" t="n">
        <v>0</v>
      </c>
      <c r="D20" s="17" t="n">
        <v>0</v>
      </c>
      <c r="E20" s="17" t="n">
        <v>0</v>
      </c>
      <c r="F20" s="17" t="n">
        <v>0</v>
      </c>
      <c r="G20" s="17" t="n">
        <v>0</v>
      </c>
      <c r="H20" s="17" t="n">
        <v>0</v>
      </c>
      <c r="I20" s="17" t="n">
        <v>0</v>
      </c>
      <c r="J20" s="17" t="n">
        <v>0</v>
      </c>
      <c r="K20" s="17" t="n">
        <v>0</v>
      </c>
      <c r="L20" s="17" t="n">
        <v>0</v>
      </c>
    </row>
    <row r="21">
      <c r="A21" s="7" t="inlineStr">
        <is>
          <t>Net cash flow</t>
        </is>
      </c>
      <c r="B21" s="18">
        <f>B18+B20</f>
        <v/>
      </c>
      <c r="C21" s="18">
        <f>C18+C20</f>
        <v/>
      </c>
      <c r="D21" s="18">
        <f>D18+D20</f>
        <v/>
      </c>
      <c r="E21" s="18">
        <f>E18+E20</f>
        <v/>
      </c>
      <c r="F21" s="18">
        <f>F18+F20</f>
        <v/>
      </c>
      <c r="G21" s="18">
        <f>G18+G20</f>
        <v/>
      </c>
      <c r="H21" s="18">
        <f>H18+H20</f>
        <v/>
      </c>
      <c r="I21" s="18">
        <f>I18+I20</f>
        <v/>
      </c>
      <c r="J21" s="18">
        <f>J18+J20</f>
        <v/>
      </c>
      <c r="K21" s="18">
        <f>K18+K20</f>
        <v/>
      </c>
      <c r="L21" s="18">
        <f>L18+L20</f>
        <v/>
      </c>
    </row>
    <row r="23">
      <c r="A23" s="7" t="inlineStr">
        <is>
          <t>10-year undiscounted cash flow</t>
        </is>
      </c>
      <c r="B23" s="19">
        <f>SUM(B21:L21)</f>
        <v/>
      </c>
    </row>
    <row r="24">
      <c r="A24" s="7" t="inlineStr">
        <is>
          <t>10-year NPV @ municipal discount rate</t>
        </is>
      </c>
      <c r="B24" s="19">
        <f>NPV(Assumptions!$B$31,C21:L21)+B21</f>
        <v/>
      </c>
    </row>
    <row r="25">
      <c r="A25" s="7" t="inlineStr">
        <is>
          <t>Memo: rent avoided (not in P&amp;L)</t>
        </is>
      </c>
      <c r="B25" s="17" t="n">
        <v>0</v>
      </c>
      <c r="C25" s="17">
        <f>Assumptions!$B$23</f>
        <v/>
      </c>
      <c r="D25" s="17">
        <f>Assumptions!$B$23</f>
        <v/>
      </c>
      <c r="E25" s="17">
        <f>Assumptions!$B$23</f>
        <v/>
      </c>
      <c r="F25" s="17">
        <f>Assumptions!$B$23</f>
        <v/>
      </c>
      <c r="G25" s="17">
        <f>Assumptions!$B$23</f>
        <v/>
      </c>
      <c r="H25" s="17">
        <f>Assumptions!$B$23</f>
        <v/>
      </c>
      <c r="I25" s="17">
        <f>Assumptions!$B$23</f>
        <v/>
      </c>
      <c r="J25" s="17">
        <f>Assumptions!$B$23</f>
        <v/>
      </c>
      <c r="K25" s="17">
        <f>Assumptions!$B$23</f>
        <v/>
      </c>
      <c r="L25" s="17">
        <f>Assumptions!$B$23</f>
        <v/>
      </c>
    </row>
    <row r="26">
      <c r="A26" s="7" t="inlineStr">
        <is>
          <t>Rent savings as % of net revenue (steady state)</t>
        </is>
      </c>
      <c r="B26" s="20">
        <f>Assumptions!$B$23/(Assumptions!$B$5*Assumptions!$B$9*(1-Assumptions!$B$12))</f>
        <v/>
      </c>
    </row>
  </sheetData>
  <pageMargins left="0.75" right="0.75" top="1" bottom="1" header="0.5" footer="0.5"/>
</worksheet>
</file>

<file path=xl/worksheets/sheet4.xml><?xml version="1.0" encoding="utf-8"?>
<worksheet xmlns="http://schemas.openxmlformats.org/spreadsheetml/2006/main">
  <sheetPr>
    <tabColor rgb="003B3B3B"/>
    <outlinePr summaryBelow="1" summaryRight="1"/>
    <pageSetUpPr/>
  </sheetPr>
  <dimension ref="A1:L2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ht="26" customHeight="1">
      <c r="A1" s="1" t="inlineStr">
        <is>
          <t>Five-store rollup — phased to announced timeline</t>
        </is>
      </c>
      <c r="B1" s="2" t="n"/>
      <c r="C1" s="2" t="n"/>
      <c r="D1" s="2" t="n"/>
      <c r="E1" s="2" t="n"/>
      <c r="F1" s="2" t="n"/>
      <c r="G1" s="2" t="n"/>
      <c r="H1" s="2" t="n"/>
      <c r="I1" s="2" t="n"/>
      <c r="J1" s="2" t="n"/>
      <c r="K1" s="2" t="n"/>
      <c r="L1" s="2" t="n"/>
    </row>
    <row r="2">
      <c r="A2" s="5" t="inlineStr">
        <is>
          <t>Assumes The Peninsula (Hunts Point) opens late 2027 (Y1); stores 2–5, including La Marqueta, open by 2029 (Y3). Stores reach steady state by Y3 of operation.</t>
        </is>
      </c>
    </row>
    <row r="4">
      <c r="A4" s="7" t="inlineStr">
        <is>
          <t>Year</t>
        </is>
      </c>
      <c r="B4" s="15" t="inlineStr">
        <is>
          <t>Y0</t>
        </is>
      </c>
      <c r="C4" s="15" t="inlineStr">
        <is>
          <t>Y1</t>
        </is>
      </c>
      <c r="D4" s="15" t="inlineStr">
        <is>
          <t>Y2</t>
        </is>
      </c>
      <c r="E4" s="15" t="inlineStr">
        <is>
          <t>Y3</t>
        </is>
      </c>
      <c r="F4" s="15" t="inlineStr">
        <is>
          <t>Y4</t>
        </is>
      </c>
      <c r="G4" s="15" t="inlineStr">
        <is>
          <t>Y5</t>
        </is>
      </c>
      <c r="H4" s="15" t="inlineStr">
        <is>
          <t>Y6</t>
        </is>
      </c>
      <c r="I4" s="15" t="inlineStr">
        <is>
          <t>Y7</t>
        </is>
      </c>
      <c r="J4" s="15" t="inlineStr">
        <is>
          <t>Y8</t>
        </is>
      </c>
      <c r="K4" s="15" t="inlineStr">
        <is>
          <t>Y9</t>
        </is>
      </c>
      <c r="L4" s="15" t="inlineStr">
        <is>
          <t>Y10</t>
        </is>
      </c>
    </row>
    <row r="5">
      <c r="A5" s="7" t="inlineStr">
        <is>
          <t>Calendar year</t>
        </is>
      </c>
      <c r="B5" s="21" t="n">
        <v>2026</v>
      </c>
      <c r="C5" s="21" t="n">
        <v>2027</v>
      </c>
      <c r="D5" s="21" t="n">
        <v>2028</v>
      </c>
      <c r="E5" s="21" t="n">
        <v>2029</v>
      </c>
      <c r="F5" s="21" t="n">
        <v>2030</v>
      </c>
      <c r="G5" s="21" t="n">
        <v>2031</v>
      </c>
      <c r="H5" s="21" t="n">
        <v>2032</v>
      </c>
      <c r="I5" s="21" t="n">
        <v>2033</v>
      </c>
      <c r="J5" s="21" t="n">
        <v>2034</v>
      </c>
      <c r="K5" s="21" t="n">
        <v>2035</v>
      </c>
      <c r="L5" s="21" t="n">
        <v>2036</v>
      </c>
    </row>
    <row r="6">
      <c r="A6" s="7" t="inlineStr">
        <is>
          <t>Stores operating</t>
        </is>
      </c>
      <c r="B6" s="22" t="n">
        <v>0</v>
      </c>
      <c r="C6" s="22" t="n">
        <v>1</v>
      </c>
      <c r="D6" s="22" t="n">
        <v>3</v>
      </c>
      <c r="E6" s="22" t="n">
        <v>5</v>
      </c>
      <c r="F6" s="22" t="n">
        <v>5</v>
      </c>
      <c r="G6" s="22" t="n">
        <v>5</v>
      </c>
      <c r="H6" s="22" t="n">
        <v>5</v>
      </c>
      <c r="I6" s="22" t="n">
        <v>5</v>
      </c>
      <c r="J6" s="22" t="n">
        <v>5</v>
      </c>
      <c r="K6" s="22" t="n">
        <v>5</v>
      </c>
      <c r="L6" s="22" t="n">
        <v>5</v>
      </c>
    </row>
    <row r="8">
      <c r="A8" s="7" t="inlineStr">
        <is>
          <t>Capex</t>
        </is>
      </c>
      <c r="B8" s="17">
        <f>-Assumptions!$B$26</f>
        <v/>
      </c>
      <c r="C8" s="17">
        <f>-2*Assumptions!$B$27</f>
        <v/>
      </c>
      <c r="D8" s="17">
        <f>-2*Assumptions!$B$27</f>
        <v/>
      </c>
      <c r="E8" s="17">
        <f>0</f>
        <v/>
      </c>
      <c r="F8" s="17">
        <f>0</f>
        <v/>
      </c>
      <c r="G8" s="17">
        <f>0</f>
        <v/>
      </c>
      <c r="H8" s="17">
        <f>0</f>
        <v/>
      </c>
      <c r="I8" s="17">
        <f>0</f>
        <v/>
      </c>
      <c r="J8" s="17">
        <f>0</f>
        <v/>
      </c>
      <c r="K8" s="17">
        <f>0</f>
        <v/>
      </c>
      <c r="L8" s="17">
        <f>0</f>
        <v/>
      </c>
    </row>
    <row r="9">
      <c r="A9" s="7" t="inlineStr">
        <is>
          <t>Aggregate ramp-adjusted store-years</t>
        </is>
      </c>
      <c r="B9" s="23">
        <f>0+0+0+0+0</f>
        <v/>
      </c>
      <c r="C9" s="23">
        <f>Assumptions!$B$10+0+0+0+0</f>
        <v/>
      </c>
      <c r="D9" s="23">
        <f>Assumptions!$B$11+Assumptions!$B$10+Assumptions!$B$10+0+0</f>
        <v/>
      </c>
      <c r="E9" s="23">
        <f>1+Assumptions!$B$11+Assumptions!$B$11+Assumptions!$B$10+Assumptions!$B$10</f>
        <v/>
      </c>
      <c r="F9" s="23">
        <f>1+1+1+Assumptions!$B$11+Assumptions!$B$11</f>
        <v/>
      </c>
      <c r="G9" s="23">
        <f>1+1+1+1+1</f>
        <v/>
      </c>
      <c r="H9" s="23">
        <f>1+1+1+1+1</f>
        <v/>
      </c>
      <c r="I9" s="23">
        <f>1+1+1+1+1</f>
        <v/>
      </c>
      <c r="J9" s="23">
        <f>1+1+1+1+1</f>
        <v/>
      </c>
      <c r="K9" s="23">
        <f>1+1+1+1+1</f>
        <v/>
      </c>
      <c r="L9" s="23">
        <f>1+1+1+1+1</f>
        <v/>
      </c>
    </row>
    <row r="10">
      <c r="A10" s="7" t="inlineStr">
        <is>
          <t>Gross revenue (all stores)</t>
        </is>
      </c>
      <c r="B10" s="17">
        <f>Assumptions!$B$5*Assumptions!$B$9*B9</f>
        <v/>
      </c>
      <c r="C10" s="17">
        <f>Assumptions!$B$5*Assumptions!$B$9*C9</f>
        <v/>
      </c>
      <c r="D10" s="17">
        <f>Assumptions!$B$5*Assumptions!$B$9*D9</f>
        <v/>
      </c>
      <c r="E10" s="17">
        <f>Assumptions!$B$5*Assumptions!$B$9*E9</f>
        <v/>
      </c>
      <c r="F10" s="17">
        <f>Assumptions!$B$5*Assumptions!$B$9*F9</f>
        <v/>
      </c>
      <c r="G10" s="17">
        <f>Assumptions!$B$5*Assumptions!$B$9*G9</f>
        <v/>
      </c>
      <c r="H10" s="17">
        <f>Assumptions!$B$5*Assumptions!$B$9*H9</f>
        <v/>
      </c>
      <c r="I10" s="17">
        <f>Assumptions!$B$5*Assumptions!$B$9*I9</f>
        <v/>
      </c>
      <c r="J10" s="17">
        <f>Assumptions!$B$5*Assumptions!$B$9*J9</f>
        <v/>
      </c>
      <c r="K10" s="17">
        <f>Assumptions!$B$5*Assumptions!$B$9*K9</f>
        <v/>
      </c>
      <c r="L10" s="17">
        <f>Assumptions!$B$5*Assumptions!$B$9*L9</f>
        <v/>
      </c>
    </row>
    <row r="11">
      <c r="A11" s="7" t="inlineStr">
        <is>
          <t>Net revenue (after discount)</t>
        </is>
      </c>
      <c r="B11" s="17">
        <f>B10*(1-Assumptions!$B$12)</f>
        <v/>
      </c>
      <c r="C11" s="17">
        <f>C10*(1-Assumptions!$B$12)</f>
        <v/>
      </c>
      <c r="D11" s="17">
        <f>D10*(1-Assumptions!$B$12)</f>
        <v/>
      </c>
      <c r="E11" s="17">
        <f>E10*(1-Assumptions!$B$12)</f>
        <v/>
      </c>
      <c r="F11" s="17">
        <f>F10*(1-Assumptions!$B$12)</f>
        <v/>
      </c>
      <c r="G11" s="17">
        <f>G10*(1-Assumptions!$B$12)</f>
        <v/>
      </c>
      <c r="H11" s="17">
        <f>H10*(1-Assumptions!$B$12)</f>
        <v/>
      </c>
      <c r="I11" s="17">
        <f>I10*(1-Assumptions!$B$12)</f>
        <v/>
      </c>
      <c r="J11" s="17">
        <f>J10*(1-Assumptions!$B$12)</f>
        <v/>
      </c>
      <c r="K11" s="17">
        <f>K10*(1-Assumptions!$B$12)</f>
        <v/>
      </c>
      <c r="L11" s="17">
        <f>L10*(1-Assumptions!$B$12)</f>
        <v/>
      </c>
    </row>
    <row r="13">
      <c r="A13" s="7" t="inlineStr">
        <is>
          <t>COGS (% of gross)</t>
        </is>
      </c>
      <c r="B13" s="17">
        <f>-B10*Assumptions!$B$16</f>
        <v/>
      </c>
      <c r="C13" s="17">
        <f>-C10*Assumptions!$B$16</f>
        <v/>
      </c>
      <c r="D13" s="17">
        <f>-D10*Assumptions!$B$16</f>
        <v/>
      </c>
      <c r="E13" s="17">
        <f>-E10*Assumptions!$B$16</f>
        <v/>
      </c>
      <c r="F13" s="17">
        <f>-F10*Assumptions!$B$16</f>
        <v/>
      </c>
      <c r="G13" s="17">
        <f>-G10*Assumptions!$B$16</f>
        <v/>
      </c>
      <c r="H13" s="17">
        <f>-H10*Assumptions!$B$16</f>
        <v/>
      </c>
      <c r="I13" s="17">
        <f>-I10*Assumptions!$B$16</f>
        <v/>
      </c>
      <c r="J13" s="17">
        <f>-J10*Assumptions!$B$16</f>
        <v/>
      </c>
      <c r="K13" s="17">
        <f>-K10*Assumptions!$B$16</f>
        <v/>
      </c>
      <c r="L13" s="17">
        <f>-L10*Assumptions!$B$16</f>
        <v/>
      </c>
    </row>
    <row r="14">
      <c r="A14" s="7" t="inlineStr">
        <is>
          <t>Labor (% of gross)</t>
        </is>
      </c>
      <c r="B14" s="17">
        <f>-B10*Assumptions!$B$17</f>
        <v/>
      </c>
      <c r="C14" s="17">
        <f>-C10*Assumptions!$B$17</f>
        <v/>
      </c>
      <c r="D14" s="17">
        <f>-D10*Assumptions!$B$17</f>
        <v/>
      </c>
      <c r="E14" s="17">
        <f>-E10*Assumptions!$B$17</f>
        <v/>
      </c>
      <c r="F14" s="17">
        <f>-F10*Assumptions!$B$17</f>
        <v/>
      </c>
      <c r="G14" s="17">
        <f>-G10*Assumptions!$B$17</f>
        <v/>
      </c>
      <c r="H14" s="17">
        <f>-H10*Assumptions!$B$17</f>
        <v/>
      </c>
      <c r="I14" s="17">
        <f>-I10*Assumptions!$B$17</f>
        <v/>
      </c>
      <c r="J14" s="17">
        <f>-J10*Assumptions!$B$17</f>
        <v/>
      </c>
      <c r="K14" s="17">
        <f>-K10*Assumptions!$B$17</f>
        <v/>
      </c>
      <c r="L14" s="17">
        <f>-L10*Assumptions!$B$17</f>
        <v/>
      </c>
    </row>
    <row r="15">
      <c r="A15" s="7" t="inlineStr">
        <is>
          <t>Other opex (% of gross)</t>
        </is>
      </c>
      <c r="B15" s="17">
        <f>-B10*Assumptions!$B$18</f>
        <v/>
      </c>
      <c r="C15" s="17">
        <f>-C10*Assumptions!$B$18</f>
        <v/>
      </c>
      <c r="D15" s="17">
        <f>-D10*Assumptions!$B$18</f>
        <v/>
      </c>
      <c r="E15" s="17">
        <f>-E10*Assumptions!$B$18</f>
        <v/>
      </c>
      <c r="F15" s="17">
        <f>-F10*Assumptions!$B$18</f>
        <v/>
      </c>
      <c r="G15" s="17">
        <f>-G10*Assumptions!$B$18</f>
        <v/>
      </c>
      <c r="H15" s="17">
        <f>-H10*Assumptions!$B$18</f>
        <v/>
      </c>
      <c r="I15" s="17">
        <f>-I10*Assumptions!$B$18</f>
        <v/>
      </c>
      <c r="J15" s="17">
        <f>-J10*Assumptions!$B$18</f>
        <v/>
      </c>
      <c r="K15" s="17">
        <f>-K10*Assumptions!$B$18</f>
        <v/>
      </c>
      <c r="L15" s="17">
        <f>-L10*Assumptions!$B$18</f>
        <v/>
      </c>
    </row>
    <row r="16">
      <c r="A16" s="7" t="inlineStr">
        <is>
          <t>Operator fees (per operating store)</t>
        </is>
      </c>
      <c r="B16" s="17">
        <f>-Assumptions!$B$19*B6</f>
        <v/>
      </c>
      <c r="C16" s="17">
        <f>-Assumptions!$B$19*C6</f>
        <v/>
      </c>
      <c r="D16" s="17">
        <f>-Assumptions!$B$19*D6</f>
        <v/>
      </c>
      <c r="E16" s="17">
        <f>-Assumptions!$B$19*E6</f>
        <v/>
      </c>
      <c r="F16" s="17">
        <f>-Assumptions!$B$19*F6</f>
        <v/>
      </c>
      <c r="G16" s="17">
        <f>-Assumptions!$B$19*G6</f>
        <v/>
      </c>
      <c r="H16" s="17">
        <f>-Assumptions!$B$19*H6</f>
        <v/>
      </c>
      <c r="I16" s="17">
        <f>-Assumptions!$B$19*I6</f>
        <v/>
      </c>
      <c r="J16" s="17">
        <f>-Assumptions!$B$19*J6</f>
        <v/>
      </c>
      <c r="K16" s="17">
        <f>-Assumptions!$B$19*K6</f>
        <v/>
      </c>
      <c r="L16" s="17">
        <f>-Assumptions!$B$19*L6</f>
        <v/>
      </c>
    </row>
    <row r="18">
      <c r="A18" s="7" t="inlineStr">
        <is>
          <t>Operating result</t>
        </is>
      </c>
      <c r="B18" s="18">
        <f>B11+B13+B14+B15+B16</f>
        <v/>
      </c>
      <c r="C18" s="18">
        <f>C11+C13+C14+C15+C16</f>
        <v/>
      </c>
      <c r="D18" s="18">
        <f>D11+D13+D14+D15+D16</f>
        <v/>
      </c>
      <c r="E18" s="18">
        <f>E11+E13+E14+E15+E16</f>
        <v/>
      </c>
      <c r="F18" s="18">
        <f>F11+F13+F14+F15+F16</f>
        <v/>
      </c>
      <c r="G18" s="18">
        <f>G11+G13+G14+G15+G16</f>
        <v/>
      </c>
      <c r="H18" s="18">
        <f>H11+H13+H14+H15+H16</f>
        <v/>
      </c>
      <c r="I18" s="18">
        <f>I11+I13+I14+I15+I16</f>
        <v/>
      </c>
      <c r="J18" s="18">
        <f>J11+J13+J14+J15+J16</f>
        <v/>
      </c>
      <c r="K18" s="18">
        <f>K11+K13+K14+K15+K16</f>
        <v/>
      </c>
      <c r="L18" s="18">
        <f>L11+L13+L14+L15+L16</f>
        <v/>
      </c>
    </row>
    <row r="19">
      <c r="A19" s="7" t="inlineStr">
        <is>
          <t>Net cash flow (incl. capex)</t>
        </is>
      </c>
      <c r="B19" s="18">
        <f>B18+B8</f>
        <v/>
      </c>
      <c r="C19" s="18">
        <f>C18+C8</f>
        <v/>
      </c>
      <c r="D19" s="18">
        <f>D18+D8</f>
        <v/>
      </c>
      <c r="E19" s="18">
        <f>E18+E8</f>
        <v/>
      </c>
      <c r="F19" s="18">
        <f>F18+F8</f>
        <v/>
      </c>
      <c r="G19" s="18">
        <f>G18+G8</f>
        <v/>
      </c>
      <c r="H19" s="18">
        <f>H18+H8</f>
        <v/>
      </c>
      <c r="I19" s="18">
        <f>I18+I8</f>
        <v/>
      </c>
      <c r="J19" s="18">
        <f>J18+J8</f>
        <v/>
      </c>
      <c r="K19" s="18">
        <f>K18+K8</f>
        <v/>
      </c>
      <c r="L19" s="18">
        <f>L18+L8</f>
        <v/>
      </c>
    </row>
    <row r="21">
      <c r="A21" s="7" t="inlineStr">
        <is>
          <t>10-yr total net cash flow</t>
        </is>
      </c>
      <c r="B21" s="19">
        <f>SUM(B19:L19)</f>
        <v/>
      </c>
    </row>
    <row r="22">
      <c r="A22" s="7" t="inlineStr">
        <is>
          <t>10-yr NPV @ municipal discount rate</t>
        </is>
      </c>
      <c r="B22" s="19">
        <f>NPV(Assumptions!$B$31,C19:L19)+B19</f>
        <v/>
      </c>
    </row>
    <row r="23">
      <c r="A23" s="7" t="inlineStr">
        <is>
          <t>Total capex (memo)</t>
        </is>
      </c>
      <c r="B23" s="19">
        <f>-SUM(B8:L8)</f>
        <v/>
      </c>
    </row>
    <row r="24">
      <c r="A24" s="7" t="inlineStr">
        <is>
          <t>Total operating losses over 10yrs</t>
        </is>
      </c>
      <c r="B24" s="19">
        <f>MIN(0,SUM(B18:L18))</f>
        <v/>
      </c>
    </row>
  </sheetData>
  <pageMargins left="0.75" right="0.75" top="1" bottom="1" header="0.5" footer="0.5"/>
</worksheet>
</file>

<file path=xl/worksheets/sheet5.xml><?xml version="1.0" encoding="utf-8"?>
<worksheet xmlns="http://schemas.openxmlformats.org/spreadsheetml/2006/main">
  <sheetPr>
    <tabColor rgb="003B3B3B"/>
    <outlinePr summaryBelow="1" summaryRight="1"/>
    <pageSetUpPr/>
  </sheetPr>
  <dimension ref="A1:L21"/>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s>
  <sheetData>
    <row r="1" ht="26" customHeight="1">
      <c r="A1" s="1" t="inlineStr">
        <is>
          <t>Sensitivity — single-store steady-state operating result</t>
        </is>
      </c>
      <c r="B1" s="2" t="n"/>
      <c r="C1" s="2" t="n"/>
      <c r="D1" s="2" t="n"/>
      <c r="E1" s="2" t="n"/>
      <c r="F1" s="2" t="n"/>
      <c r="G1" s="2" t="n"/>
      <c r="H1" s="2" t="n"/>
      <c r="I1" s="2" t="n"/>
      <c r="J1" s="2" t="n"/>
      <c r="K1" s="2" t="n"/>
      <c r="L1" s="2" t="n"/>
    </row>
    <row r="2">
      <c r="A2" s="5" t="inlineStr">
        <is>
          <t>Rows: sales per sqft. Columns: discount to shoppers. Cell = steady-state annual operating result per store.</t>
        </is>
      </c>
    </row>
    <row r="3">
      <c r="A3" s="5" t="inlineStr">
        <is>
          <t>Positive = profit, negative = annual subsidy needed. Read the crossover to see where the plan pencils.</t>
        </is>
      </c>
    </row>
    <row r="5">
      <c r="A5" s="24" t="inlineStr">
        <is>
          <t>Sales / sqft  ↓    Discount →</t>
        </is>
      </c>
      <c r="B5" s="25" t="n">
        <v>0.05</v>
      </c>
      <c r="C5" s="25" t="n">
        <v>0.075</v>
      </c>
      <c r="D5" s="25" t="n">
        <v>0.1</v>
      </c>
      <c r="E5" s="25" t="n">
        <v>0.125</v>
      </c>
      <c r="F5" s="25" t="n">
        <v>0.15</v>
      </c>
      <c r="G5" s="25" t="n">
        <v>0.2</v>
      </c>
      <c r="H5" s="25" t="n">
        <v>0.25</v>
      </c>
      <c r="I5" s="26" t="n">
        <v>0.3</v>
      </c>
    </row>
    <row r="6">
      <c r="A6" s="24" t="inlineStr">
        <is>
          <t>$400/sqft</t>
        </is>
      </c>
      <c r="B6" s="27">
        <f>Assumptions!$B$5*400*((1-0.05)-(Assumptions!$B$16+Assumptions!$B$17+Assumptions!$B$18))-Assumptions!$B$19</f>
        <v/>
      </c>
      <c r="C6" s="27">
        <f>Assumptions!$B$5*400*((1-0.075)-(Assumptions!$B$16+Assumptions!$B$17+Assumptions!$B$18))-Assumptions!$B$19</f>
        <v/>
      </c>
      <c r="D6" s="27">
        <f>Assumptions!$B$5*400*((1-0.1)-(Assumptions!$B$16+Assumptions!$B$17+Assumptions!$B$18))-Assumptions!$B$19</f>
        <v/>
      </c>
      <c r="E6" s="27">
        <f>Assumptions!$B$5*400*((1-0.125)-(Assumptions!$B$16+Assumptions!$B$17+Assumptions!$B$18))-Assumptions!$B$19</f>
        <v/>
      </c>
      <c r="F6" s="27">
        <f>Assumptions!$B$5*400*((1-0.15)-(Assumptions!$B$16+Assumptions!$B$17+Assumptions!$B$18))-Assumptions!$B$19</f>
        <v/>
      </c>
      <c r="G6" s="27">
        <f>Assumptions!$B$5*400*((1-0.2)-(Assumptions!$B$16+Assumptions!$B$17+Assumptions!$B$18))-Assumptions!$B$19</f>
        <v/>
      </c>
      <c r="H6" s="27">
        <f>Assumptions!$B$5*400*((1-0.25)-(Assumptions!$B$16+Assumptions!$B$17+Assumptions!$B$18))-Assumptions!$B$19</f>
        <v/>
      </c>
      <c r="I6" s="28">
        <f>Assumptions!$B$5*400*((1-0.3)-(Assumptions!$B$16+Assumptions!$B$17+Assumptions!$B$18))-Assumptions!$B$19</f>
        <v/>
      </c>
    </row>
    <row r="7">
      <c r="A7" s="24" t="inlineStr">
        <is>
          <t>$450/sqft</t>
        </is>
      </c>
      <c r="B7" s="27">
        <f>Assumptions!$B$5*450*((1-0.05)-(Assumptions!$B$16+Assumptions!$B$17+Assumptions!$B$18))-Assumptions!$B$19</f>
        <v/>
      </c>
      <c r="C7" s="27">
        <f>Assumptions!$B$5*450*((1-0.075)-(Assumptions!$B$16+Assumptions!$B$17+Assumptions!$B$18))-Assumptions!$B$19</f>
        <v/>
      </c>
      <c r="D7" s="27">
        <f>Assumptions!$B$5*450*((1-0.1)-(Assumptions!$B$16+Assumptions!$B$17+Assumptions!$B$18))-Assumptions!$B$19</f>
        <v/>
      </c>
      <c r="E7" s="27">
        <f>Assumptions!$B$5*450*((1-0.125)-(Assumptions!$B$16+Assumptions!$B$17+Assumptions!$B$18))-Assumptions!$B$19</f>
        <v/>
      </c>
      <c r="F7" s="27">
        <f>Assumptions!$B$5*450*((1-0.15)-(Assumptions!$B$16+Assumptions!$B$17+Assumptions!$B$18))-Assumptions!$B$19</f>
        <v/>
      </c>
      <c r="G7" s="27">
        <f>Assumptions!$B$5*450*((1-0.2)-(Assumptions!$B$16+Assumptions!$B$17+Assumptions!$B$18))-Assumptions!$B$19</f>
        <v/>
      </c>
      <c r="H7" s="27">
        <f>Assumptions!$B$5*450*((1-0.25)-(Assumptions!$B$16+Assumptions!$B$17+Assumptions!$B$18))-Assumptions!$B$19</f>
        <v/>
      </c>
      <c r="I7" s="28">
        <f>Assumptions!$B$5*450*((1-0.3)-(Assumptions!$B$16+Assumptions!$B$17+Assumptions!$B$18))-Assumptions!$B$19</f>
        <v/>
      </c>
    </row>
    <row r="8">
      <c r="A8" s="24" t="inlineStr">
        <is>
          <t>$500/sqft</t>
        </is>
      </c>
      <c r="B8" s="27">
        <f>Assumptions!$B$5*500*((1-0.05)-(Assumptions!$B$16+Assumptions!$B$17+Assumptions!$B$18))-Assumptions!$B$19</f>
        <v/>
      </c>
      <c r="C8" s="27">
        <f>Assumptions!$B$5*500*((1-0.075)-(Assumptions!$B$16+Assumptions!$B$17+Assumptions!$B$18))-Assumptions!$B$19</f>
        <v/>
      </c>
      <c r="D8" s="27">
        <f>Assumptions!$B$5*500*((1-0.1)-(Assumptions!$B$16+Assumptions!$B$17+Assumptions!$B$18))-Assumptions!$B$19</f>
        <v/>
      </c>
      <c r="E8" s="27">
        <f>Assumptions!$B$5*500*((1-0.125)-(Assumptions!$B$16+Assumptions!$B$17+Assumptions!$B$18))-Assumptions!$B$19</f>
        <v/>
      </c>
      <c r="F8" s="27">
        <f>Assumptions!$B$5*500*((1-0.15)-(Assumptions!$B$16+Assumptions!$B$17+Assumptions!$B$18))-Assumptions!$B$19</f>
        <v/>
      </c>
      <c r="G8" s="27">
        <f>Assumptions!$B$5*500*((1-0.2)-(Assumptions!$B$16+Assumptions!$B$17+Assumptions!$B$18))-Assumptions!$B$19</f>
        <v/>
      </c>
      <c r="H8" s="27">
        <f>Assumptions!$B$5*500*((1-0.25)-(Assumptions!$B$16+Assumptions!$B$17+Assumptions!$B$18))-Assumptions!$B$19</f>
        <v/>
      </c>
      <c r="I8" s="28">
        <f>Assumptions!$B$5*500*((1-0.3)-(Assumptions!$B$16+Assumptions!$B$17+Assumptions!$B$18))-Assumptions!$B$19</f>
        <v/>
      </c>
    </row>
    <row r="9">
      <c r="A9" s="24" t="inlineStr">
        <is>
          <t>$550/sqft</t>
        </is>
      </c>
      <c r="B9" s="27">
        <f>Assumptions!$B$5*550*((1-0.05)-(Assumptions!$B$16+Assumptions!$B$17+Assumptions!$B$18))-Assumptions!$B$19</f>
        <v/>
      </c>
      <c r="C9" s="27">
        <f>Assumptions!$B$5*550*((1-0.075)-(Assumptions!$B$16+Assumptions!$B$17+Assumptions!$B$18))-Assumptions!$B$19</f>
        <v/>
      </c>
      <c r="D9" s="27">
        <f>Assumptions!$B$5*550*((1-0.1)-(Assumptions!$B$16+Assumptions!$B$17+Assumptions!$B$18))-Assumptions!$B$19</f>
        <v/>
      </c>
      <c r="E9" s="27">
        <f>Assumptions!$B$5*550*((1-0.125)-(Assumptions!$B$16+Assumptions!$B$17+Assumptions!$B$18))-Assumptions!$B$19</f>
        <v/>
      </c>
      <c r="F9" s="27">
        <f>Assumptions!$B$5*550*((1-0.15)-(Assumptions!$B$16+Assumptions!$B$17+Assumptions!$B$18))-Assumptions!$B$19</f>
        <v/>
      </c>
      <c r="G9" s="27">
        <f>Assumptions!$B$5*550*((1-0.2)-(Assumptions!$B$16+Assumptions!$B$17+Assumptions!$B$18))-Assumptions!$B$19</f>
        <v/>
      </c>
      <c r="H9" s="27">
        <f>Assumptions!$B$5*550*((1-0.25)-(Assumptions!$B$16+Assumptions!$B$17+Assumptions!$B$18))-Assumptions!$B$19</f>
        <v/>
      </c>
      <c r="I9" s="28">
        <f>Assumptions!$B$5*550*((1-0.3)-(Assumptions!$B$16+Assumptions!$B$17+Assumptions!$B$18))-Assumptions!$B$19</f>
        <v/>
      </c>
    </row>
    <row r="10">
      <c r="A10" s="24" t="inlineStr">
        <is>
          <t>$600/sqft</t>
        </is>
      </c>
      <c r="B10" s="27">
        <f>Assumptions!$B$5*600*((1-0.05)-(Assumptions!$B$16+Assumptions!$B$17+Assumptions!$B$18))-Assumptions!$B$19</f>
        <v/>
      </c>
      <c r="C10" s="27">
        <f>Assumptions!$B$5*600*((1-0.075)-(Assumptions!$B$16+Assumptions!$B$17+Assumptions!$B$18))-Assumptions!$B$19</f>
        <v/>
      </c>
      <c r="D10" s="27">
        <f>Assumptions!$B$5*600*((1-0.1)-(Assumptions!$B$16+Assumptions!$B$17+Assumptions!$B$18))-Assumptions!$B$19</f>
        <v/>
      </c>
      <c r="E10" s="27">
        <f>Assumptions!$B$5*600*((1-0.125)-(Assumptions!$B$16+Assumptions!$B$17+Assumptions!$B$18))-Assumptions!$B$19</f>
        <v/>
      </c>
      <c r="F10" s="27">
        <f>Assumptions!$B$5*600*((1-0.15)-(Assumptions!$B$16+Assumptions!$B$17+Assumptions!$B$18))-Assumptions!$B$19</f>
        <v/>
      </c>
      <c r="G10" s="27">
        <f>Assumptions!$B$5*600*((1-0.2)-(Assumptions!$B$16+Assumptions!$B$17+Assumptions!$B$18))-Assumptions!$B$19</f>
        <v/>
      </c>
      <c r="H10" s="27">
        <f>Assumptions!$B$5*600*((1-0.25)-(Assumptions!$B$16+Assumptions!$B$17+Assumptions!$B$18))-Assumptions!$B$19</f>
        <v/>
      </c>
      <c r="I10" s="28">
        <f>Assumptions!$B$5*600*((1-0.3)-(Assumptions!$B$16+Assumptions!$B$17+Assumptions!$B$18))-Assumptions!$B$19</f>
        <v/>
      </c>
    </row>
    <row r="11">
      <c r="A11" s="24" t="inlineStr">
        <is>
          <t>$700/sqft</t>
        </is>
      </c>
      <c r="B11" s="27">
        <f>Assumptions!$B$5*700*((1-0.05)-(Assumptions!$B$16+Assumptions!$B$17+Assumptions!$B$18))-Assumptions!$B$19</f>
        <v/>
      </c>
      <c r="C11" s="27">
        <f>Assumptions!$B$5*700*((1-0.075)-(Assumptions!$B$16+Assumptions!$B$17+Assumptions!$B$18))-Assumptions!$B$19</f>
        <v/>
      </c>
      <c r="D11" s="27">
        <f>Assumptions!$B$5*700*((1-0.1)-(Assumptions!$B$16+Assumptions!$B$17+Assumptions!$B$18))-Assumptions!$B$19</f>
        <v/>
      </c>
      <c r="E11" s="27">
        <f>Assumptions!$B$5*700*((1-0.125)-(Assumptions!$B$16+Assumptions!$B$17+Assumptions!$B$18))-Assumptions!$B$19</f>
        <v/>
      </c>
      <c r="F11" s="27">
        <f>Assumptions!$B$5*700*((1-0.15)-(Assumptions!$B$16+Assumptions!$B$17+Assumptions!$B$18))-Assumptions!$B$19</f>
        <v/>
      </c>
      <c r="G11" s="27">
        <f>Assumptions!$B$5*700*((1-0.2)-(Assumptions!$B$16+Assumptions!$B$17+Assumptions!$B$18))-Assumptions!$B$19</f>
        <v/>
      </c>
      <c r="H11" s="27">
        <f>Assumptions!$B$5*700*((1-0.25)-(Assumptions!$B$16+Assumptions!$B$17+Assumptions!$B$18))-Assumptions!$B$19</f>
        <v/>
      </c>
      <c r="I11" s="28">
        <f>Assumptions!$B$5*700*((1-0.3)-(Assumptions!$B$16+Assumptions!$B$17+Assumptions!$B$18))-Assumptions!$B$19</f>
        <v/>
      </c>
    </row>
    <row r="12">
      <c r="A12" s="24" t="inlineStr">
        <is>
          <t>$800/sqft</t>
        </is>
      </c>
      <c r="B12" s="27">
        <f>Assumptions!$B$5*800*((1-0.05)-(Assumptions!$B$16+Assumptions!$B$17+Assumptions!$B$18))-Assumptions!$B$19</f>
        <v/>
      </c>
      <c r="C12" s="27">
        <f>Assumptions!$B$5*800*((1-0.075)-(Assumptions!$B$16+Assumptions!$B$17+Assumptions!$B$18))-Assumptions!$B$19</f>
        <v/>
      </c>
      <c r="D12" s="27">
        <f>Assumptions!$B$5*800*((1-0.1)-(Assumptions!$B$16+Assumptions!$B$17+Assumptions!$B$18))-Assumptions!$B$19</f>
        <v/>
      </c>
      <c r="E12" s="27">
        <f>Assumptions!$B$5*800*((1-0.125)-(Assumptions!$B$16+Assumptions!$B$17+Assumptions!$B$18))-Assumptions!$B$19</f>
        <v/>
      </c>
      <c r="F12" s="27">
        <f>Assumptions!$B$5*800*((1-0.15)-(Assumptions!$B$16+Assumptions!$B$17+Assumptions!$B$18))-Assumptions!$B$19</f>
        <v/>
      </c>
      <c r="G12" s="27">
        <f>Assumptions!$B$5*800*((1-0.2)-(Assumptions!$B$16+Assumptions!$B$17+Assumptions!$B$18))-Assumptions!$B$19</f>
        <v/>
      </c>
      <c r="H12" s="27">
        <f>Assumptions!$B$5*800*((1-0.25)-(Assumptions!$B$16+Assumptions!$B$17+Assumptions!$B$18))-Assumptions!$B$19</f>
        <v/>
      </c>
      <c r="I12" s="28">
        <f>Assumptions!$B$5*800*((1-0.3)-(Assumptions!$B$16+Assumptions!$B$17+Assumptions!$B$18))-Assumptions!$B$19</f>
        <v/>
      </c>
    </row>
    <row r="13">
      <c r="A13" s="24" t="inlineStr">
        <is>
          <t>$900/sqft</t>
        </is>
      </c>
      <c r="B13" s="27">
        <f>Assumptions!$B$5*900*((1-0.05)-(Assumptions!$B$16+Assumptions!$B$17+Assumptions!$B$18))-Assumptions!$B$19</f>
        <v/>
      </c>
      <c r="C13" s="27">
        <f>Assumptions!$B$5*900*((1-0.075)-(Assumptions!$B$16+Assumptions!$B$17+Assumptions!$B$18))-Assumptions!$B$19</f>
        <v/>
      </c>
      <c r="D13" s="27">
        <f>Assumptions!$B$5*900*((1-0.1)-(Assumptions!$B$16+Assumptions!$B$17+Assumptions!$B$18))-Assumptions!$B$19</f>
        <v/>
      </c>
      <c r="E13" s="27">
        <f>Assumptions!$B$5*900*((1-0.125)-(Assumptions!$B$16+Assumptions!$B$17+Assumptions!$B$18))-Assumptions!$B$19</f>
        <v/>
      </c>
      <c r="F13" s="27">
        <f>Assumptions!$B$5*900*((1-0.15)-(Assumptions!$B$16+Assumptions!$B$17+Assumptions!$B$18))-Assumptions!$B$19</f>
        <v/>
      </c>
      <c r="G13" s="27">
        <f>Assumptions!$B$5*900*((1-0.2)-(Assumptions!$B$16+Assumptions!$B$17+Assumptions!$B$18))-Assumptions!$B$19</f>
        <v/>
      </c>
      <c r="H13" s="27">
        <f>Assumptions!$B$5*900*((1-0.25)-(Assumptions!$B$16+Assumptions!$B$17+Assumptions!$B$18))-Assumptions!$B$19</f>
        <v/>
      </c>
      <c r="I13" s="28">
        <f>Assumptions!$B$5*900*((1-0.3)-(Assumptions!$B$16+Assumptions!$B$17+Assumptions!$B$18))-Assumptions!$B$19</f>
        <v/>
      </c>
    </row>
    <row r="14">
      <c r="A14" s="24" t="inlineStr">
        <is>
          <t>$1,019/sqft</t>
        </is>
      </c>
      <c r="B14" s="27">
        <f>Assumptions!$B$5*1019*((1-0.05)-(Assumptions!$B$16+Assumptions!$B$17+Assumptions!$B$18))-Assumptions!$B$19</f>
        <v/>
      </c>
      <c r="C14" s="27">
        <f>Assumptions!$B$5*1019*((1-0.075)-(Assumptions!$B$16+Assumptions!$B$17+Assumptions!$B$18))-Assumptions!$B$19</f>
        <v/>
      </c>
      <c r="D14" s="27">
        <f>Assumptions!$B$5*1019*((1-0.1)-(Assumptions!$B$16+Assumptions!$B$17+Assumptions!$B$18))-Assumptions!$B$19</f>
        <v/>
      </c>
      <c r="E14" s="27">
        <f>Assumptions!$B$5*1019*((1-0.125)-(Assumptions!$B$16+Assumptions!$B$17+Assumptions!$B$18))-Assumptions!$B$19</f>
        <v/>
      </c>
      <c r="F14" s="27">
        <f>Assumptions!$B$5*1019*((1-0.15)-(Assumptions!$B$16+Assumptions!$B$17+Assumptions!$B$18))-Assumptions!$B$19</f>
        <v/>
      </c>
      <c r="G14" s="27">
        <f>Assumptions!$B$5*1019*((1-0.2)-(Assumptions!$B$16+Assumptions!$B$17+Assumptions!$B$18))-Assumptions!$B$19</f>
        <v/>
      </c>
      <c r="H14" s="27">
        <f>Assumptions!$B$5*1019*((1-0.25)-(Assumptions!$B$16+Assumptions!$B$17+Assumptions!$B$18))-Assumptions!$B$19</f>
        <v/>
      </c>
      <c r="I14" s="28">
        <f>Assumptions!$B$5*1019*((1-0.3)-(Assumptions!$B$16+Assumptions!$B$17+Assumptions!$B$18))-Assumptions!$B$19</f>
        <v/>
      </c>
    </row>
    <row r="15"/>
    <row r="16">
      <c r="A16" s="24" t="inlineStr">
        <is>
          <t>Reading the table</t>
        </is>
      </c>
    </row>
    <row r="17">
      <c r="A17" s="29" t="inlineStr">
        <is>
          <t>• Industry avg net margin is ~1.6% (FMI 2024). At this model's April 10% discount assumption, every realistic sales/sqft produces a loss — because the discount exceeds the margin six times over.</t>
        </is>
      </c>
    </row>
    <row r="18">
      <c r="A18" s="29" t="inlineStr">
        <is>
          <t>• The store only clears profit with a small discount (≤5%) AND sales/sqft far above industry ($2,200+) — a combination unlikely for a new small-format municipal store.</t>
        </is>
      </c>
    </row>
    <row r="19">
      <c r="A19" s="29" t="inlineStr">
        <is>
          <t>• At the plausible $400–600/sqft for a new small-format store + 10% discount, each store needs $508k–$562k/yr in operating subsidy (the grid's own 10% column).</t>
        </is>
      </c>
    </row>
    <row r="20">
      <c r="A20" s="29" t="inlineStr">
        <is>
          <t>• Eliminating the operator fee improves the result by $400k/yr. The plan structure, however, requires a private operator.</t>
        </is>
      </c>
    </row>
    <row r="21">
      <c r="A21" s="29" t="inlineStr">
        <is>
          <t>• The 20–30% columns were added August 2026 after the administration announced a 30% core-basket discount (July 27, 2026). Above a ~7% discount the contribution margin is negative, so higher sales/sqft deepens the loss — the gradient flips; by a ~17% blended discount it is worse than −10¢ per dollar of sales. See the July 2026 Update tab for the blended scenarios.</t>
        </is>
      </c>
    </row>
  </sheetData>
  <mergeCells count="5">
    <mergeCell ref="A18:H18"/>
    <mergeCell ref="A21:H21"/>
    <mergeCell ref="A20:H20"/>
    <mergeCell ref="A19:H19"/>
    <mergeCell ref="A17:H17"/>
  </mergeCells>
  <conditionalFormatting sqref="B6:I14">
    <cfRule type="cellIs" priority="1" operator="lessThan" dxfId="0">
      <formula>0</formula>
    </cfRule>
  </conditionalFormatting>
  <pageMargins left="0.75" right="0.75" top="1" bottom="1" header="0.5" footer="0.5"/>
</worksheet>
</file>

<file path=xl/worksheets/sheet6.xml><?xml version="1.0" encoding="utf-8"?>
<worksheet xmlns="http://schemas.openxmlformats.org/spreadsheetml/2006/main">
  <sheetPr>
    <tabColor rgb="001F1FD6"/>
    <outlinePr summaryBelow="1" summaryRight="1"/>
    <pageSetUpPr/>
  </sheetPr>
  <dimension ref="A1:H110"/>
  <sheetViews>
    <sheetView showGridLines="0" workbookViewId="0">
      <pane ySplit="3" topLeftCell="A4" activePane="bottomLeft" state="frozen"/>
      <selection pane="bottomLef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70" customWidth="1" min="8" max="8"/>
  </cols>
  <sheetData>
    <row r="1" ht="26" customHeight="1">
      <c r="A1" s="1" t="inlineStr">
        <is>
          <t>July 2026 update — the announced 30% core-basket discount</t>
        </is>
      </c>
      <c r="B1" s="2" t="n"/>
      <c r="C1" s="2" t="n"/>
      <c r="D1" s="2" t="n"/>
      <c r="E1" s="2" t="n"/>
      <c r="F1" s="2" t="n"/>
      <c r="G1" s="2" t="n"/>
      <c r="H1" s="2" t="n"/>
    </row>
    <row r="2">
      <c r="A2" s="5" t="inlineStr">
        <is>
          <t>Added August 2026. The original tabs keep the April 2026 central case (10% discount). The April piece's tables now match this file only where that piece's banner says so — an August 2026 re-audit corrected the school-meals, FRESH, and SNAP-count inputs and rebuilt the Alternatives tab. Everything on this tab is additive; yellow cells are editable.</t>
        </is>
      </c>
    </row>
    <row r="4">
      <c r="A4" s="3" t="inlineStr">
        <is>
          <t>What was announced (July 27, 2026)</t>
        </is>
      </c>
      <c r="B4" s="6" t="n"/>
      <c r="C4" s="6" t="n"/>
      <c r="D4" s="6" t="n"/>
      <c r="E4" s="6" t="n"/>
      <c r="F4" s="6" t="n"/>
      <c r="G4" s="6" t="n"/>
      <c r="H4" s="6" t="n"/>
    </row>
    <row r="5">
      <c r="A5" s="7" t="inlineStr">
        <is>
          <t>Core-basket discount vs. typical retail</t>
        </is>
      </c>
      <c r="B5" s="14" t="n">
        <v>0.3</v>
      </c>
      <c r="H5" s="5" t="inlineStr">
        <is>
          <t>Basket: all produce, meat, seafood + ~20 staple/dairy/refrigerated categories. Monthly price adjustments per the RFP, uniform citywide; applies to all shoppers.</t>
        </is>
      </c>
    </row>
    <row r="6">
      <c r="A6" s="7" t="inlineStr">
        <is>
          <t>City Hall projection: cut to average total grocery bill</t>
        </is>
      </c>
      <c r="B6" s="14" t="n">
        <v>0.15</v>
      </c>
      <c r="H6" s="5" t="inlineStr">
        <is>
          <t>Release: 'cut New Yorkers' average grocery bill by 15 percent, about $90 a month, or roughly $1,000 a year.'</t>
        </is>
      </c>
    </row>
    <row r="7">
      <c r="A7" s="7" t="inlineStr">
        <is>
          <t>Promised savings per shopper ($/month)</t>
        </is>
      </c>
      <c r="B7" s="10" t="n">
        <v>90</v>
      </c>
    </row>
    <row r="8">
      <c r="A8" s="7" t="inlineStr">
        <is>
          <t>Promised savings per shopper ($/yr)</t>
        </is>
      </c>
      <c r="B8" s="12">
        <f>12*'July 2026 Update'!$B$7</f>
        <v/>
      </c>
    </row>
    <row r="9">
      <c r="A9" s="7" t="inlineStr">
        <is>
          <t>Average selling sqft per store (RFP-consistent)</t>
        </is>
      </c>
      <c r="B9" s="8" t="n">
        <v>13800</v>
      </c>
      <c r="H9" s="5" t="inlineStr">
        <is>
          <t>RFP App. D: Bronx unit ~15,000 SF incl. mezzanine storage. App. E: BK/QNS/SI bids assume ~15,000 selling sqft. La Marqueta 9,000 (by 2029); Peninsula opens end-2027.</t>
        </is>
      </c>
    </row>
    <row r="10">
      <c r="A10" s="7" t="inlineStr">
        <is>
          <t>Industry-average sales per sqft (FMI 2025)</t>
        </is>
      </c>
      <c r="B10" s="10" t="n">
        <v>1019</v>
      </c>
    </row>
    <row r="11">
      <c r="A11" s="7" t="inlineStr">
        <is>
          <t>Persons per household (NYC)</t>
        </is>
      </c>
      <c r="B11" s="30" t="n">
        <v>2.48</v>
      </c>
    </row>
    <row r="12">
      <c r="A12" s="7" t="inlineStr">
        <is>
          <t>Capital budget (five stores)</t>
        </is>
      </c>
      <c r="B12" s="12">
        <f>Assumptions!$B$45</f>
        <v/>
      </c>
      <c r="H12" s="5" t="inlineStr">
        <is>
          <t>Announced $70M. No operating-subsidy figure has been disclosed in any release.</t>
        </is>
      </c>
    </row>
    <row r="14">
      <c r="A14" s="3" t="inlineStr">
        <is>
          <t>Blended in-store discount</t>
        </is>
      </c>
      <c r="B14" s="6" t="n"/>
      <c r="C14" s="6" t="n"/>
      <c r="D14" s="6" t="n"/>
      <c r="E14" s="6" t="n"/>
      <c r="F14" s="6" t="n"/>
      <c r="G14" s="6" t="n"/>
      <c r="H14" s="6" t="n"/>
    </row>
    <row r="15">
      <c r="A15" s="7" t="inlineStr">
        <is>
          <t>Core-basket share of store sales</t>
        </is>
      </c>
      <c r="B15" s="14" t="n">
        <v>0.6</v>
      </c>
    </row>
    <row r="16">
      <c r="A16" s="7" t="inlineStr">
        <is>
          <t>Central blended in-store discount</t>
        </is>
      </c>
      <c r="B16" s="20">
        <f>'July 2026 Update'!$B$5*'July 2026 Update'!$B$15</f>
        <v/>
      </c>
      <c r="H16" s="5" t="inlineStr">
        <is>
          <t>30% × basket share. City Hall's own 15% average-bill figure is the conservative floor; 30% is the bound if everything in the store is basket.</t>
        </is>
      </c>
    </row>
    <row r="17">
      <c r="A17" s="7" t="inlineStr">
        <is>
          <t>Annuity factor — value today of $1/yr for 10 years</t>
        </is>
      </c>
      <c r="B17" s="31">
        <f>(1-(1+Assumptions!$B$31)^(-10))/Assumptions!$B$31</f>
        <v/>
      </c>
      <c r="H17" s="5" t="inlineStr">
        <is>
          <t>At the Assumptions tab's 4% municipal rate. Used to state leverage 'in today's dollars': future discount dollars and future subsidy checks are both worth less than dollars today, while the $70M of construction is paid up front.</t>
        </is>
      </c>
    </row>
    <row r="19">
      <c r="A19" s="3" t="inlineStr">
        <is>
          <t>Scenario grid A — quiet store (the April model's $500/sqft traffic)</t>
        </is>
      </c>
      <c r="B19" s="6" t="n"/>
      <c r="C19" s="6" t="n"/>
      <c r="D19" s="6" t="n"/>
      <c r="E19" s="6" t="n"/>
      <c r="F19" s="6" t="n"/>
      <c r="G19" s="6" t="n"/>
      <c r="H19" s="6" t="n"/>
    </row>
    <row r="20">
      <c r="A20" s="7" t="inlineStr">
        <is>
          <t>Scenario</t>
        </is>
      </c>
      <c r="B20" s="15" t="inlineStr">
        <is>
          <t>April (10%)</t>
        </is>
      </c>
      <c r="C20" s="15" t="inlineStr">
        <is>
          <t>15%</t>
        </is>
      </c>
      <c r="D20" s="15" t="inlineStr">
        <is>
          <t>Central blend</t>
        </is>
      </c>
      <c r="E20" s="15" t="inlineStr">
        <is>
          <t>20%</t>
        </is>
      </c>
      <c r="F20" s="15" t="inlineStr">
        <is>
          <t>25%</t>
        </is>
      </c>
      <c r="G20" s="15" t="inlineStr">
        <is>
          <t>30%</t>
        </is>
      </c>
    </row>
    <row r="21">
      <c r="A21" s="7" t="inlineStr">
        <is>
          <t>Blended in-store discount</t>
        </is>
      </c>
      <c r="B21" s="16">
        <f>Assumptions!$B$12</f>
        <v/>
      </c>
      <c r="C21" s="16" t="n">
        <v>0.15</v>
      </c>
      <c r="D21" s="16">
        <f>'July 2026 Update'!$B$16</f>
        <v/>
      </c>
      <c r="E21" s="16" t="n">
        <v>0.2</v>
      </c>
      <c r="F21" s="16" t="n">
        <v>0.25</v>
      </c>
      <c r="G21" s="16" t="n">
        <v>0.3</v>
      </c>
      <c r="H21" s="5" t="inlineStr">
        <is>
          <t>April column reads the Assumptions discount cell (10% central case), kept for apples-to-apples comparison.</t>
        </is>
      </c>
    </row>
    <row r="22">
      <c r="A22" s="7" t="inlineStr">
        <is>
          <t>Gross revenue per store ($/yr)</t>
        </is>
      </c>
      <c r="B22" s="12">
        <f>'July 2026 Update'!$B$9*Assumptions!$B$9</f>
        <v/>
      </c>
      <c r="H22" s="5" t="inlineStr">
        <is>
          <t>Same across scenarios: announced avg footprint × the Assumptions tab's $/sqft central case.</t>
        </is>
      </c>
    </row>
    <row r="23">
      <c r="A23" s="7" t="inlineStr">
        <is>
          <t>Contribution per $1 of gross sales</t>
        </is>
      </c>
      <c r="B23" s="16">
        <f>(1-B21)-(Assumptions!$B$16+Assumptions!$B$17+Assumptions!$B$18)</f>
        <v/>
      </c>
      <c r="C23" s="16">
        <f>(1-C21)-(Assumptions!$B$16+Assumptions!$B$17+Assumptions!$B$18)</f>
        <v/>
      </c>
      <c r="D23" s="16">
        <f>(1-D21)-(Assumptions!$B$16+Assumptions!$B$17+Assumptions!$B$18)</f>
        <v/>
      </c>
      <c r="E23" s="16">
        <f>(1-E21)-(Assumptions!$B$16+Assumptions!$B$17+Assumptions!$B$18)</f>
        <v/>
      </c>
      <c r="F23" s="16">
        <f>(1-F21)-(Assumptions!$B$16+Assumptions!$B$17+Assumptions!$B$18)</f>
        <v/>
      </c>
      <c r="G23" s="16">
        <f>(1-G21)-(Assumptions!$B$16+Assumptions!$B$17+Assumptions!$B$18)</f>
        <v/>
      </c>
      <c r="H23" s="5" t="inlineStr">
        <is>
          <t>At 30% off, basket items price at 70% of retail vs ~72% industry acquisition cost — at or below cost before any labor.</t>
        </is>
      </c>
    </row>
    <row r="24">
      <c r="A24" s="7" t="inlineStr">
        <is>
          <t>Operating result per store ($/yr)</t>
        </is>
      </c>
      <c r="B24" s="18">
        <f>$B$22*B23-Assumptions!$B$19</f>
        <v/>
      </c>
      <c r="C24" s="18">
        <f>$B$22*C23-Assumptions!$B$19</f>
        <v/>
      </c>
      <c r="D24" s="18">
        <f>$B$22*D23-Assumptions!$B$19</f>
        <v/>
      </c>
      <c r="E24" s="18">
        <f>$B$22*E23-Assumptions!$B$19</f>
        <v/>
      </c>
      <c r="F24" s="18">
        <f>$B$22*F23-Assumptions!$B$19</f>
        <v/>
      </c>
      <c r="G24" s="18">
        <f>$B$22*G23-Assumptions!$B$19</f>
        <v/>
      </c>
    </row>
    <row r="25">
      <c r="A25" s="7" t="inlineStr">
        <is>
          <t>Annual operating subsidy, five stores ($/yr)</t>
        </is>
      </c>
      <c r="B25" s="17">
        <f>-5*B24</f>
        <v/>
      </c>
      <c r="C25" s="17">
        <f>-5*C24</f>
        <v/>
      </c>
      <c r="D25" s="17">
        <f>-5*D24</f>
        <v/>
      </c>
      <c r="E25" s="17">
        <f>-5*E24</f>
        <v/>
      </c>
      <c r="F25" s="17">
        <f>-5*F24</f>
        <v/>
      </c>
      <c r="G25" s="17">
        <f>-5*G24</f>
        <v/>
      </c>
    </row>
    <row r="26">
      <c r="A26" s="7" t="inlineStr">
        <is>
          <t>Ten-year public envelope (capex + 10 × subsidy)</t>
        </is>
      </c>
      <c r="B26" s="17">
        <f>Assumptions!$B$45+10*B25</f>
        <v/>
      </c>
      <c r="C26" s="17">
        <f>Assumptions!$B$45+10*C25</f>
        <v/>
      </c>
      <c r="D26" s="17">
        <f>Assumptions!$B$45+10*D25</f>
        <v/>
      </c>
      <c r="E26" s="17">
        <f>Assumptions!$B$45+10*E25</f>
        <v/>
      </c>
      <c r="F26" s="17">
        <f>Assumptions!$B$45+10*F25</f>
        <v/>
      </c>
      <c r="G26" s="17">
        <f>Assumptions!$B$45+10*G25</f>
        <v/>
      </c>
    </row>
    <row r="27">
      <c r="A27" s="7" t="inlineStr">
        <is>
          <t>Discount $ reaching shoppers, five stores ($/yr)</t>
        </is>
      </c>
      <c r="B27" s="17">
        <f>5*$B$22*B21</f>
        <v/>
      </c>
      <c r="C27" s="17">
        <f>5*$B$22*C21</f>
        <v/>
      </c>
      <c r="D27" s="17">
        <f>5*$B$22*D21</f>
        <v/>
      </c>
      <c r="E27" s="17">
        <f>5*$B$22*E21</f>
        <v/>
      </c>
      <c r="F27" s="17">
        <f>5*$B$22*F21</f>
        <v/>
      </c>
      <c r="G27" s="17">
        <f>5*$B$22*G21</f>
        <v/>
      </c>
    </row>
    <row r="28">
      <c r="A28" s="7" t="inlineStr">
        <is>
          <t>Households receiving the full promised savings</t>
        </is>
      </c>
      <c r="B28" s="22">
        <f>B27/'July 2026 Update'!$B$8</f>
        <v/>
      </c>
      <c r="C28" s="22">
        <f>C27/'July 2026 Update'!$B$8</f>
        <v/>
      </c>
      <c r="D28" s="22">
        <f>D27/'July 2026 Update'!$B$8</f>
        <v/>
      </c>
      <c r="E28" s="22">
        <f>E27/'July 2026 Update'!$B$8</f>
        <v/>
      </c>
      <c r="F28" s="22">
        <f>F27/'July 2026 Update'!$B$8</f>
        <v/>
      </c>
      <c r="G28" s="22">
        <f>G27/'July 2026 Update'!$B$8</f>
        <v/>
      </c>
    </row>
    <row r="29">
      <c r="A29" s="7" t="inlineStr">
        <is>
          <t>Nominal leverage = 10-yr benefit ÷ envelope (secondary)</t>
        </is>
      </c>
      <c r="B29" s="32">
        <f>10*B27/B26</f>
        <v/>
      </c>
      <c r="C29" s="32">
        <f>10*C27/C26</f>
        <v/>
      </c>
      <c r="D29" s="32">
        <f>10*D27/D26</f>
        <v/>
      </c>
      <c r="E29" s="32">
        <f>10*E27/E26</f>
        <v/>
      </c>
      <c r="F29" s="32">
        <f>10*F27/F26</f>
        <v/>
      </c>
      <c r="G29" s="32">
        <f>10*G27/G26</f>
        <v/>
      </c>
      <c r="H29" s="5" t="inlineStr">
        <is>
          <t>No time value — kept to reconcile with the sum-of-checks envelope. The PV row below is the headline metric.</t>
        </is>
      </c>
    </row>
    <row r="30">
      <c r="A30" s="7" t="inlineStr">
        <is>
          <t>Food benefit per public dollar, in today's dollars</t>
        </is>
      </c>
      <c r="B30" s="33">
        <f>(B27*'July 2026 Update'!$B$17)/(Assumptions!$B$45+B25*'July 2026 Update'!$B$17)</f>
        <v/>
      </c>
      <c r="C30" s="33">
        <f>(C27*'July 2026 Update'!$B$17)/(Assumptions!$B$45+C25*'July 2026 Update'!$B$17)</f>
        <v/>
      </c>
      <c r="D30" s="33">
        <f>(D27*'July 2026 Update'!$B$17)/(Assumptions!$B$45+D25*'July 2026 Update'!$B$17)</f>
        <v/>
      </c>
      <c r="E30" s="33">
        <f>(E27*'July 2026 Update'!$B$17)/(Assumptions!$B$45+E25*'July 2026 Update'!$B$17)</f>
        <v/>
      </c>
      <c r="F30" s="33">
        <f>(F27*'July 2026 Update'!$B$17)/(Assumptions!$B$45+F25*'July 2026 Update'!$B$17)</f>
        <v/>
      </c>
      <c r="G30" s="33">
        <f>(G27*'July 2026 Update'!$B$17)/(Assumptions!$B$45+G25*'July 2026 Update'!$B$17)</f>
        <v/>
      </c>
      <c r="H30" s="5" t="inlineStr">
        <is>
          <t>PV of ten transfer years ÷ (capex + PV of ten subsidy years), at the 4% muni rate. A 10%-off store draws no queue, so April's quiet-small-format traffic was the right frame then. Steady state, all five open; ramp and phasing ignored on both cost and benefit.</t>
        </is>
      </c>
    </row>
    <row r="32">
      <c r="A32" s="3" t="inlineStr">
        <is>
          <t>Scenario grid B — capacity-bound store at industry-average traffic (the announced plan's frame)</t>
        </is>
      </c>
      <c r="B32" s="6" t="n"/>
      <c r="C32" s="6" t="n"/>
      <c r="D32" s="6" t="n"/>
      <c r="E32" s="6" t="n"/>
      <c r="F32" s="6" t="n"/>
      <c r="G32" s="6" t="n"/>
      <c r="H32" s="6" t="n"/>
    </row>
    <row r="33">
      <c r="A33" s="7" t="inlineStr">
        <is>
          <t>Gross revenue per store ($/yr)</t>
        </is>
      </c>
      <c r="B33" s="12">
        <f>'July 2026 Update'!$B$9*'July 2026 Update'!$B$10</f>
        <v/>
      </c>
      <c r="H33" s="5" t="inlineStr">
        <is>
          <t>A store priced 30% below market is capacity-bound — the depth of the discount is the point, and it draws the crowd. Industry-average traffic is the FLOOR of the busy range (Trader Joe's runs ~$2,000/sqft), so this frame is conservative on cost and generous on reach at once.</t>
        </is>
      </c>
    </row>
    <row r="34">
      <c r="A34" s="7" t="inlineStr">
        <is>
          <t>Operating result per store ($/yr)</t>
        </is>
      </c>
      <c r="B34" s="18">
        <f>$B$33*B23-Assumptions!$B$19</f>
        <v/>
      </c>
      <c r="C34" s="18">
        <f>$B$33*C23-Assumptions!$B$19</f>
        <v/>
      </c>
      <c r="D34" s="18">
        <f>$B$33*D23-Assumptions!$B$19</f>
        <v/>
      </c>
      <c r="E34" s="18">
        <f>$B$33*E23-Assumptions!$B$19</f>
        <v/>
      </c>
      <c r="F34" s="18">
        <f>$B$33*F23-Assumptions!$B$19</f>
        <v/>
      </c>
      <c r="G34" s="18">
        <f>$B$33*G23-Assumptions!$B$19</f>
        <v/>
      </c>
      <c r="H34" s="5" t="inlineStr">
        <is>
          <t>Once contribution is negative, busier is worse — the discount makes success expensive.</t>
        </is>
      </c>
    </row>
    <row r="35">
      <c r="A35" s="7" t="inlineStr">
        <is>
          <t>Annual operating subsidy, five stores ($/yr)</t>
        </is>
      </c>
      <c r="B35" s="17">
        <f>-5*B34</f>
        <v/>
      </c>
      <c r="C35" s="17">
        <f>-5*C34</f>
        <v/>
      </c>
      <c r="D35" s="17">
        <f>-5*D34</f>
        <v/>
      </c>
      <c r="E35" s="17">
        <f>-5*E34</f>
        <v/>
      </c>
      <c r="F35" s="17">
        <f>-5*F34</f>
        <v/>
      </c>
      <c r="G35" s="17">
        <f>-5*G34</f>
        <v/>
      </c>
    </row>
    <row r="36">
      <c r="A36" s="7" t="inlineStr">
        <is>
          <t>Ten-year public envelope (capex + 10 × subsidy)</t>
        </is>
      </c>
      <c r="B36" s="18">
        <f>Assumptions!$B$45+10*B35</f>
        <v/>
      </c>
      <c r="C36" s="18">
        <f>Assumptions!$B$45+10*C35</f>
        <v/>
      </c>
      <c r="D36" s="18">
        <f>Assumptions!$B$45+10*D35</f>
        <v/>
      </c>
      <c r="E36" s="18">
        <f>Assumptions!$B$45+10*E35</f>
        <v/>
      </c>
      <c r="F36" s="18">
        <f>Assumptions!$B$45+10*F35</f>
        <v/>
      </c>
      <c r="G36" s="18">
        <f>Assumptions!$B$45+10*G35</f>
        <v/>
      </c>
    </row>
    <row r="37">
      <c r="A37" s="7" t="inlineStr">
        <is>
          <t>Discount $ reaching shoppers, five stores ($/yr)</t>
        </is>
      </c>
      <c r="B37" s="17">
        <f>5*$B$33*B21</f>
        <v/>
      </c>
      <c r="C37" s="17">
        <f>5*$B$33*C21</f>
        <v/>
      </c>
      <c r="D37" s="17">
        <f>5*$B$33*D21</f>
        <v/>
      </c>
      <c r="E37" s="17">
        <f>5*$B$33*E21</f>
        <v/>
      </c>
      <c r="F37" s="17">
        <f>5*$B$33*F21</f>
        <v/>
      </c>
      <c r="G37" s="17">
        <f>5*$B$33*G21</f>
        <v/>
      </c>
    </row>
    <row r="38">
      <c r="A38" s="7" t="inlineStr">
        <is>
          <t>Households receiving the full promised savings</t>
        </is>
      </c>
      <c r="B38" s="34">
        <f>B37/'July 2026 Update'!$B$8</f>
        <v/>
      </c>
      <c r="C38" s="34">
        <f>C37/'July 2026 Update'!$B$8</f>
        <v/>
      </c>
      <c r="D38" s="34">
        <f>D37/'July 2026 Update'!$B$8</f>
        <v/>
      </c>
      <c r="E38" s="34">
        <f>E37/'July 2026 Update'!$B$8</f>
        <v/>
      </c>
      <c r="F38" s="34">
        <f>F37/'July 2026 Update'!$B$8</f>
        <v/>
      </c>
      <c r="G38" s="34">
        <f>G37/'July 2026 Update'!$B$8</f>
        <v/>
      </c>
      <c r="H38" s="5" t="inlineStr">
        <is>
          <t>Transfer capacity ÷ the promised $90/month (= $1,080/yr; the release rounds to 'roughly $1,000 a year'). The stores can be generous or broad, not both.</t>
        </is>
      </c>
    </row>
    <row r="39">
      <c r="A39" s="7" t="inlineStr">
        <is>
          <t>New Yorkers (households × persons per HH)</t>
        </is>
      </c>
      <c r="B39" s="22">
        <f>B38*'July 2026 Update'!$B$11</f>
        <v/>
      </c>
      <c r="C39" s="22">
        <f>C38*'July 2026 Update'!$B$11</f>
        <v/>
      </c>
      <c r="D39" s="22">
        <f>D38*'July 2026 Update'!$B$11</f>
        <v/>
      </c>
      <c r="E39" s="22">
        <f>E38*'July 2026 Update'!$B$11</f>
        <v/>
      </c>
      <c r="F39" s="22">
        <f>F38*'July 2026 Update'!$B$11</f>
        <v/>
      </c>
      <c r="G39" s="22">
        <f>G38*'July 2026 Update'!$B$11</f>
        <v/>
      </c>
    </row>
    <row r="40">
      <c r="A40" s="7" t="inlineStr">
        <is>
          <t>Nominal leverage = 10-yr benefit ÷ envelope (secondary)</t>
        </is>
      </c>
      <c r="B40" s="32">
        <f>10*B37/B36</f>
        <v/>
      </c>
      <c r="C40" s="32">
        <f>10*C37/C36</f>
        <v/>
      </c>
      <c r="D40" s="32">
        <f>10*D37/D36</f>
        <v/>
      </c>
      <c r="E40" s="32">
        <f>10*E37/E36</f>
        <v/>
      </c>
      <c r="F40" s="32">
        <f>10*F37/F36</f>
        <v/>
      </c>
      <c r="G40" s="32">
        <f>10*G37/G36</f>
        <v/>
      </c>
      <c r="H40" s="5" t="inlineStr">
        <is>
          <t>No time value — kept to reconcile with the sum-of-checks envelope. The PV row below is the headline metric.</t>
        </is>
      </c>
    </row>
    <row r="41">
      <c r="A41" s="7" t="inlineStr">
        <is>
          <t>Food benefit per public dollar, in today's dollars</t>
        </is>
      </c>
      <c r="B41" s="33">
        <f>(B37*'July 2026 Update'!$B$17)/(Assumptions!$B$45+B35*'July 2026 Update'!$B$17)</f>
        <v/>
      </c>
      <c r="C41" s="33">
        <f>(C37*'July 2026 Update'!$B$17)/(Assumptions!$B$45+C35*'July 2026 Update'!$B$17)</f>
        <v/>
      </c>
      <c r="D41" s="33">
        <f>(D37*'July 2026 Update'!$B$17)/(Assumptions!$B$45+D35*'July 2026 Update'!$B$17)</f>
        <v/>
      </c>
      <c r="E41" s="33">
        <f>(E37*'July 2026 Update'!$B$17)/(Assumptions!$B$45+E35*'July 2026 Update'!$B$17)</f>
        <v/>
      </c>
      <c r="F41" s="33">
        <f>(F37*'July 2026 Update'!$B$17)/(Assumptions!$B$45+F35*'July 2026 Update'!$B$17)</f>
        <v/>
      </c>
      <c r="G41" s="33">
        <f>(G37*'July 2026 Update'!$B$17)/(Assumptions!$B$45+G35*'July 2026 Update'!$B$17)</f>
        <v/>
      </c>
      <c r="H41" s="5" t="inlineStr">
        <is>
          <t>PV of ten transfer years ÷ (capex + PV of ten subsidy years), at the 4% muni rate. Central: 0.69x.</t>
        </is>
      </c>
    </row>
    <row r="42">
      <c r="A42" s="7" t="inlineStr">
        <is>
          <t>— envelope if the footprint reads 11,800 sqft (20k marketing reading)</t>
        </is>
      </c>
      <c r="B42" s="17">
        <f>Assumptions!$B$45+50*((11800*'July 2026 Update'!$B$10)*(D21-(1-(Assumptions!$B$16+Assumptions!$B$17+Assumptions!$B$18)))+Assumptions!$B$19)</f>
        <v/>
      </c>
      <c r="H42" s="5" t="inlineStr">
        <is>
          <t>The May 18 release and the EDC program page carry 20,000 sqft for the Peninsula where the RFP says ~15,000 incl. mezzanine; 20k + 9k La Marqueta + 3 × 10k portal minimums gives avg 11,800 — the marketing reading. Envelope ~$156M.</t>
        </is>
      </c>
    </row>
    <row r="43">
      <c r="A43" s="7" t="inlineStr">
        <is>
          <t>— envelope if the footprint reads 14,800 sqft (20k Peninsula + App. E 15k)</t>
        </is>
      </c>
      <c r="B43" s="17">
        <f>Assumptions!$B$45+50*((14800*'July 2026 Update'!$B$10)*(D21-(1-(Assumptions!$B$16+Assumptions!$B$17+Assumptions!$B$18)))+Assumptions!$B$19)</f>
        <v/>
      </c>
      <c r="H43" s="5" t="inlineStr">
        <is>
          <t>(20,000 + 9,000 + 3 × 15,000) ÷ 5 = 14,800 — keeping the release's Peninsula figure alongside the RFP's Appendix E instruction. Envelope ~$173M. The $156M–$173M span brackets every official footprint reading around the $167M central.</t>
        </is>
      </c>
    </row>
    <row r="44">
      <c r="A44" s="7" t="inlineStr">
        <is>
          <t>Bounding case: city pays the full discount</t>
        </is>
      </c>
      <c r="B44" s="17">
        <f>Assumptions!$B$45+10*D37</f>
        <v/>
      </c>
      <c r="H44" s="5" t="inlineStr">
        <is>
          <t>If the city reimbursed the full discount rather than the operating deficit, the central envelope would run ~$197M. This is NOT the RFP's structure: the RFP is deficit-based (p. 7 — affordability payments cover 'operating deficits driven by the sale of Core Basket SKUs at discounted prices,' net of the covered rent and property taxes), which corroborates this model's loss-based central. Fee convention: the operator fee is treated as absorbed within the discount reimbursement, not added on top.</t>
        </is>
      </c>
    </row>
    <row r="46">
      <c r="A46" s="3" t="inlineStr">
        <is>
          <t>The two central cases — the demand-consistent diagonal</t>
        </is>
      </c>
      <c r="B46" s="6" t="n"/>
      <c r="C46" s="6" t="n"/>
      <c r="D46" s="6" t="n"/>
      <c r="E46" s="6" t="n"/>
      <c r="F46" s="6" t="n"/>
      <c r="G46" s="6" t="n"/>
      <c r="H46" s="6" t="n"/>
    </row>
    <row r="47" ht="26" customHeight="1">
      <c r="A47" s="7" t="inlineStr"/>
      <c r="B47" s="35" t="inlineStr">
        <is>
          <t>April model
(10% × $500)</t>
        </is>
      </c>
      <c r="C47" s="35" t="inlineStr">
        <is>
          <t>Announced plan
(18% blend × $1,019)</t>
        </is>
      </c>
      <c r="D47" s="35" t="inlineStr">
        <is>
          <t>Change (vs published
$100M base)</t>
        </is>
      </c>
    </row>
    <row r="48">
      <c r="A48" s="7" t="inlineStr">
        <is>
          <t>Ten-year public envelope (nominal — the sum of checks)</t>
        </is>
      </c>
      <c r="B48" s="17">
        <f>B26</f>
        <v/>
      </c>
      <c r="C48" s="12">
        <f>D36</f>
        <v/>
      </c>
      <c r="D48" s="36">
        <f>D36/B26-1</f>
        <v/>
      </c>
    </row>
    <row r="49">
      <c r="A49" s="7" t="inlineStr">
        <is>
          <t>Annual operating subsidy, five stores</t>
        </is>
      </c>
      <c r="B49" s="17">
        <f>B25</f>
        <v/>
      </c>
      <c r="C49" s="12">
        <f>D35</f>
        <v/>
      </c>
      <c r="D49" s="36">
        <f>D35/B25-1</f>
        <v/>
      </c>
    </row>
    <row r="50">
      <c r="A50" s="7" t="inlineStr">
        <is>
          <t>Discount $ reaching shoppers ($/yr)</t>
        </is>
      </c>
      <c r="B50" s="17">
        <f>B27</f>
        <v/>
      </c>
      <c r="C50" s="12">
        <f>D37</f>
        <v/>
      </c>
      <c r="D50" s="36">
        <f>D37/B27-1</f>
        <v/>
      </c>
    </row>
    <row r="51">
      <c r="A51" s="7" t="inlineStr">
        <is>
          <t>Households getting the full deal</t>
        </is>
      </c>
      <c r="B51" s="22">
        <f>B28</f>
        <v/>
      </c>
      <c r="C51" s="37">
        <f>D38</f>
        <v/>
      </c>
      <c r="D51" s="36">
        <f>D38/B28-1</f>
        <v/>
      </c>
    </row>
    <row r="52">
      <c r="A52" s="7" t="inlineStr">
        <is>
          <t>Food benefit per public dollar, in today's dollars</t>
        </is>
      </c>
      <c r="B52" s="32">
        <f>B30</f>
        <v/>
      </c>
      <c r="C52" s="38">
        <f>D41</f>
        <v/>
      </c>
      <c r="D52" s="36">
        <f>D41/B30-1</f>
        <v/>
      </c>
    </row>
    <row r="53">
      <c r="A53" s="7" t="inlineStr">
        <is>
          <t>Nominal leverage (secondary)</t>
        </is>
      </c>
      <c r="B53" s="32">
        <f>B29</f>
        <v/>
      </c>
      <c r="C53" s="38">
        <f>D40</f>
        <v/>
      </c>
      <c r="D53" s="36">
        <f>D40/B29-1</f>
        <v/>
      </c>
    </row>
    <row r="54">
      <c r="A54" s="7" t="inlineStr">
        <is>
          <t>New Yorkers getting the full deal (announced)</t>
        </is>
      </c>
      <c r="C54" s="37">
        <f>D39</f>
        <v/>
      </c>
      <c r="H54" s="5" t="inlineStr">
        <is>
          <t>The piece's headline numbers come from this block: the bill is the nominal envelope (the checks the city writes); the per-dollar metric is the PV row, branded 'in today's dollars.' April column = grid A at the Assumptions 10%; announced = grid B at the central blend. The April column at this footprint lands at $100.35M ≈ the published $100M, so growth statements use the published base: the bill grows about two-thirds; benefit per dollar in today's dollars more than doubles (×2.33).</t>
        </is>
      </c>
    </row>
    <row r="56">
      <c r="A56" s="3" t="inlineStr">
        <is>
          <t>Same money, other shapes — the announced envelope spent differently</t>
        </is>
      </c>
      <c r="B56" s="6" t="n"/>
      <c r="C56" s="6" t="n"/>
      <c r="D56" s="6" t="n"/>
      <c r="E56" s="6" t="n"/>
      <c r="F56" s="6" t="n"/>
      <c r="G56" s="6" t="n"/>
      <c r="H56" s="6" t="n"/>
    </row>
    <row r="57">
      <c r="A57" s="7" t="inlineStr">
        <is>
          <t>Annual pool (announced envelope ÷ 10 yrs)</t>
        </is>
      </c>
      <c r="B57" s="12">
        <f>C48/10</f>
        <v/>
      </c>
    </row>
    <row r="58">
      <c r="A58" s="7" t="inlineStr">
        <is>
          <t>Warehouse-club membership utilization</t>
        </is>
      </c>
      <c r="B58" s="39">
        <f>Assumptions!$B$51</f>
        <v/>
      </c>
      <c r="H58" s="5" t="inlineStr">
        <is>
          <t>Reads the Assumptions tab's utilization input (author assumption, 70%) — the single source of truth shared with the Alternatives tab's Costco/BJ's row.</t>
        </is>
      </c>
    </row>
    <row r="59">
      <c r="A59" s="7" t="inlineStr">
        <is>
          <t>Cash at the stores' own depth ($1,080/HH/yr)</t>
        </is>
      </c>
      <c r="B59" s="37">
        <f>B57/'July 2026 Update'!$B$8</f>
        <v/>
      </c>
      <c r="C59" s="22">
        <f>B59*'July 2026 Update'!$B$11</f>
        <v/>
      </c>
      <c r="H59" s="5" t="inlineStr">
        <is>
          <t>The depth-matched comparison: same full deal, no buildings. The stores lose even at their own depth.</t>
        </is>
      </c>
    </row>
    <row r="60">
      <c r="A60" s="7" t="inlineStr">
        <is>
          <t>SNAP-style supplement ($20/mo = $240/HH/yr)</t>
        </is>
      </c>
      <c r="B60" s="37">
        <f>B57/(Assumptions!$B$36*12)</f>
        <v/>
      </c>
      <c r="C60" s="22">
        <f>B60*'July 2026 Update'!$B$11</f>
        <v/>
      </c>
      <c r="H60" s="5" t="inlineStr">
        <is>
          <t>Direct transfer at the Alternatives tab's supplement depth.</t>
        </is>
      </c>
    </row>
    <row r="61">
      <c r="A61" s="7" t="inlineStr">
        <is>
          <t>Warehouse-club memberships funded ($65 each)</t>
        </is>
      </c>
      <c r="B61" s="37">
        <f>B57/Assumptions!$B$37</f>
        <v/>
      </c>
      <c r="C61" s="22">
        <f>B61*'July 2026 Update'!$B$11</f>
        <v/>
      </c>
      <c r="H61" s="5" t="inlineStr">
        <is>
          <t>Memberships bought outright each year.</t>
        </is>
      </c>
    </row>
    <row r="62">
      <c r="A62" s="7" t="inlineStr">
        <is>
          <t>— actively used (× utilization)</t>
        </is>
      </c>
      <c r="B62" s="37">
        <f>B57/Assumptions!$B$37*'July 2026 Update'!$B$58</f>
        <v/>
      </c>
      <c r="C62" s="22">
        <f>B62*'July 2026 Update'!$B$11</f>
        <v/>
      </c>
      <c r="H62" s="5" t="inlineStr">
        <is>
          <t>Households actually saving (~$600/yr realized, blended car/transit access — Alternatives tab).</t>
        </is>
      </c>
    </row>
    <row r="63">
      <c r="A63" s="5" t="inlineStr">
        <is>
          <t>(column C = New Yorkers, × persons per household)</t>
        </is>
      </c>
    </row>
    <row r="64">
      <c r="A64" s="7" t="inlineStr">
        <is>
          <t>FRESH-style abatements: new supermarkets (envelope ÷ $1.08M public cost per store — Comptroller Fiscal Note 4-2024)</t>
        </is>
      </c>
      <c r="B64" s="40">
        <f>C48/Assumptions!$B$42</f>
        <v/>
      </c>
      <c r="H64" s="5" t="inlineStr">
        <is>
          <t>≈155 stores over the ten years — about 15/yr vs the program's historic ~2/yr; treat as a ceiling on uptake, not a forecast.</t>
        </is>
      </c>
    </row>
    <row r="65">
      <c r="A65" s="7" t="inlineStr">
        <is>
          <t>— households beyond a half-mile walk to a supermarket (USDA, all incomes)</t>
        </is>
      </c>
      <c r="B65" s="9" t="n">
        <v>143000</v>
      </c>
      <c r="C65" s="22">
        <f>B65*'July 2026 Update'!$B$11</f>
        <v/>
      </c>
      <c r="H65" s="5" t="inlineStr">
        <is>
          <t>Access benefit, not a transfer: the full ~$300/HH/yr is reserved for the low-income core (~32,000 HH), tapering across the rest — see the update methodology. The raw walking-distance catchment (~16,100 HH/store at 2.48 persons/HH, overlapping) is a ceiling on siting, not need.</t>
        </is>
      </c>
    </row>
    <row r="66">
      <c r="A66" s="7" t="inlineStr">
        <is>
          <t>Bodega-upgrade route: reach ceiling (deduped)</t>
        </is>
      </c>
      <c r="B66" s="9" t="n">
        <v>3334088</v>
      </c>
      <c r="H66" s="5" t="inlineStr">
        <is>
          <t>The $167M envelope is ~2.2× the bodega program's $76M natural scope (10k bodegas × $7.6k). The extra money buys depth and duration (produce support beyond 2 years), not reach, so leverage runs ~10–20× depending on how benefit scales — below the April table's original 32.9×, corrected to ~10–20× in both pieces, August 2026.</t>
        </is>
      </c>
    </row>
    <row r="67">
      <c r="A67" s="7" t="inlineStr">
        <is>
          <t>Memo: SNAP households in NYC (Assumptions)</t>
        </is>
      </c>
      <c r="B67" s="22">
        <f>Assumptions!$B$39</f>
        <v/>
      </c>
      <c r="H67" s="5" t="inlineStr">
        <is>
          <t>The stores' full deal reaches ~1.1% of NYC SNAP households.</t>
        </is>
      </c>
    </row>
    <row r="68">
      <c r="A68" s="7" t="inlineStr">
        <is>
          <t>Implied basket spend at the store for the full deal ($/yr)</t>
        </is>
      </c>
      <c r="B68" s="12">
        <f>'July 2026 Update'!$B$8/'July 2026 Update'!$B$5</f>
        <v/>
      </c>
      <c r="H68" s="5" t="inlineStr">
        <is>
          <t>≈ $300/month of core-basket purchases at the municipal store — effectively a household's whole fresh-and-staples shop. Consistent with City Hall's arithmetic: $90 ≈ 15% of a $600/month total bill.</t>
        </is>
      </c>
    </row>
    <row r="70">
      <c r="A70" s="3" t="inlineStr">
        <is>
          <t>Horizon — does a longer window rescue it?</t>
        </is>
      </c>
      <c r="B70" s="6" t="n"/>
      <c r="C70" s="6" t="n"/>
      <c r="D70" s="6" t="n"/>
      <c r="E70" s="6" t="n"/>
      <c r="F70" s="6" t="n"/>
      <c r="G70" s="6" t="n"/>
      <c r="H70" s="6" t="n"/>
    </row>
    <row r="71">
      <c r="A71" s="7" t="inlineStr">
        <is>
          <t>Operating leverage (transfer ÷ subsidy, steady state)</t>
        </is>
      </c>
      <c r="B71" s="38">
        <f>C50/C49</f>
        <v/>
      </c>
      <c r="H71" s="5" t="inlineStr">
        <is>
          <t>Excluding construction, the running operation converts subsidy to shopper benefit at 1.3:1.</t>
        </is>
      </c>
    </row>
    <row r="72">
      <c r="A72" s="7" t="inlineStr">
        <is>
          <t>Envelope in today's dollars (construction + PV of ten subsidy years)</t>
        </is>
      </c>
      <c r="B72" s="12">
        <f>Assumptions!$B$45+C49*'July 2026 Update'!$B$17</f>
        <v/>
      </c>
      <c r="H72" s="5" t="inlineStr">
        <is>
          <t>≈$149M at the 4% muni rate — the same checks the nominal $167M envelope counts, discounted to today.</t>
        </is>
      </c>
    </row>
    <row r="73">
      <c r="A73" s="7" t="inlineStr">
        <is>
          <t>Phased-calendar variant (stores open 1/2/2 across years 1–3; 44 store-years)</t>
        </is>
      </c>
      <c r="B73" s="12">
        <f>Assumptions!$B$45+44*(-D34)</f>
        <v/>
      </c>
      <c r="H73" s="5" t="inlineStr">
        <is>
          <t>Nominal envelope if openings phase over 2027–29: 44 store-years of the central steady-state loss instead of 50; ramp ignored.</t>
        </is>
      </c>
    </row>
    <row r="74">
      <c r="A74" s="7" t="inlineStr">
        <is>
          <t>30-year leverage, today's dollars</t>
        </is>
      </c>
      <c r="B74" s="38">
        <f>(C50*((1-(1+Assumptions!$B$31)^(-30))/Assumptions!$B$31))/(Assumptions!$B$45+C49*((1-(1+Assumptions!$B$31)^(-30))/Assumptions!$B$31))</f>
        <v/>
      </c>
      <c r="H74" s="5" t="inlineStr">
        <is>
          <t>Tripling the window still doesn't clear the floor: thirty subsidized years, discounted at the Assumptions tab's rate, deliver less than a dollar of benefit per public dollar.</t>
        </is>
      </c>
    </row>
    <row r="75">
      <c r="A75" s="7" t="inlineStr">
        <is>
          <t>Run forever (perpetuity at the 4% rate)</t>
        </is>
      </c>
      <c r="B75" s="38">
        <f>(C50/Assumptions!$B$31)/(Assumptions!$B$45+C49/Assumptions!$B$31)</f>
        <v/>
      </c>
      <c r="H75" s="5" t="inlineStr">
        <is>
          <t>The NAIVE forever figure: flat nominal flows, original fit-out never replaced. Kept for reference — it is unstable in both directions (see the Asset value and Real rates blocks below): indexing the flows to food prices pushes it up to ~1.16, and charging fit-out replacement (user cost) pulls it to 0.70–0.82, under the cash floor at every rate in the band. The old ~4.2% break-even framing is retired (economist-review round, Aug 2026).</t>
        </is>
      </c>
    </row>
    <row r="77">
      <c r="A77" s="3" t="inlineStr">
        <is>
          <t>Asset value — suppose the city sells the stores (added Aug 2026)</t>
        </is>
      </c>
      <c r="B77" s="6" t="n"/>
      <c r="C77" s="6" t="n"/>
      <c r="D77" s="6" t="n"/>
      <c r="E77" s="6" t="n"/>
      <c r="F77" s="6" t="n"/>
      <c r="G77" s="6" t="n"/>
      <c r="H77" s="6" t="n"/>
    </row>
    <row r="78">
      <c r="A78" s="7" t="inlineStr">
        <is>
          <t>Year-ten sale value — researched low ($)</t>
        </is>
      </c>
      <c r="B78" s="10" t="n">
        <v>3000000</v>
      </c>
    </row>
    <row r="79">
      <c r="A79" s="7" t="inlineStr">
        <is>
          <t>Year-ten sale value — researched high ($)</t>
        </is>
      </c>
      <c r="B79" s="10" t="n">
        <v>12000000</v>
      </c>
    </row>
    <row r="80">
      <c r="A80" s="7" t="inlineStr">
        <is>
          <t>Leverage with a year-ten sale credited — researched low</t>
        </is>
      </c>
      <c r="B80" s="32">
        <f>(C50*'July 2026 Update'!$B$17)/((Assumptions!$B$45+C49*'July 2026 Update'!$B$17)-'July 2026 Update'!$B$78*(1+Assumptions!$B$31)^(-10))</f>
        <v/>
      </c>
    </row>
    <row r="81">
      <c r="A81" s="7" t="inlineStr">
        <is>
          <t>Leverage with a year-ten sale credited — researched high</t>
        </is>
      </c>
      <c r="B81" s="32">
        <f>(C50*'July 2026 Update'!$B$17)/((Assumptions!$B$45+C49*'July 2026 Update'!$B$17)-'July 2026 Update'!$B$79*(1+Assumptions!$B$31)^(-10))</f>
        <v/>
      </c>
      <c r="H81" s="5" t="inlineStr">
        <is>
          <t>The researched band moves the verdict from 0.69 to 0.70–0.73.</t>
        </is>
      </c>
    </row>
    <row r="82">
      <c r="A82" s="7" t="inlineStr">
        <is>
          <t>Leverage if the sale recovers $30M (generous bound)</t>
        </is>
      </c>
      <c r="B82" s="32">
        <f>(C50*'July 2026 Update'!$B$17)/((Assumptions!$B$45+C49*'July 2026 Update'!$B$17)-30000000*(1+Assumptions!$B$31)^(-10))</f>
        <v/>
      </c>
      <c r="H82" s="5" t="inlineStr">
        <is>
          <t>Even the whole La Marqueta appropriation back at cost reads 0.80.</t>
        </is>
      </c>
    </row>
    <row r="83">
      <c r="A83" s="7" t="inlineStr">
        <is>
          <t>Sale value needed to reach the 1.0x cash floor ($)</t>
        </is>
      </c>
      <c r="B83" s="12">
        <f>((Assumptions!$B$45+C49*'July 2026 Update'!$B$17)-(C50*'July 2026 Update'!$B$17))*(1+Assumptions!$B$31)^10</f>
        <v/>
      </c>
      <c r="H83" s="5" t="inlineStr">
        <is>
          <t>≈$68.5M — essentially the full $70M back. Crediting the FULL $70M reproduces the perpetuity row above EXACTLY. That is an identity, not a coincidence: with a sale at the whole capex K, the ratio collapses to (transfer ÷ rate) ÷ (capex + subsidy ÷ rate) at any horizon and any rate. 'Sell it for what you paid' and 'run it forever' are the same claim — an asset that never wears out.</t>
        </is>
      </c>
    </row>
    <row r="84">
      <c r="A84" s="7" t="inlineStr">
        <is>
          <t>Market rent, blended ($/sqft/yr, researched)</t>
        </is>
      </c>
      <c r="B84" s="10" t="n">
        <v>40</v>
      </c>
    </row>
    <row r="85">
      <c r="A85" s="7" t="inlineStr">
        <is>
          <t>Implied market rent, five stores ($/yr)</t>
        </is>
      </c>
      <c r="B85" s="17">
        <f>5*'July 2026 Update'!$B$9*'July 2026 Update'!$B$84</f>
        <v/>
      </c>
    </row>
    <row r="86">
      <c r="A86" s="7" t="inlineStr">
        <is>
          <t>Full-balance-sheet leverage — rent charged, low sale credited</t>
        </is>
      </c>
      <c r="B86" s="32">
        <f>(C50*'July 2026 Update'!$B$17)/((Assumptions!$B$45+C49*'July 2026 Update'!$B$17)+'July 2026 Update'!$B$85*'July 2026 Update'!$B$17-'July 2026 Update'!$B$78*(1+Assumptions!$B$31)^(-10))</f>
        <v/>
      </c>
    </row>
    <row r="87">
      <c r="A87" s="7" t="inlineStr">
        <is>
          <t>Full-balance-sheet leverage — rent charged, high sale credited</t>
        </is>
      </c>
      <c r="B87" s="32">
        <f>(C50*'July 2026 Update'!$B$17)/((Assumptions!$B$45+C49*'July 2026 Update'!$B$17)+'July 2026 Update'!$B$85*'July 2026 Update'!$B$17-'July 2026 Update'!$B$79*(1+Assumptions!$B$31)^(-10))</f>
        <v/>
      </c>
      <c r="H87" s="5" t="inlineStr">
        <is>
          <t>The model excludes rent and property taxes (city-covered) AND credits no sale — crediting the sale while never charging for the space would be the one incoherent accounting. Do both and the ratio reads 0.61–0.63, at or below the published 0.69: the balance-sheet correction does not rescue the program.</t>
        </is>
      </c>
    </row>
    <row r="88">
      <c r="A88" s="7" t="inlineStr">
        <is>
          <t>Leased-site contingency: three 15,000-sqft leases at researched rent ($/yr)</t>
        </is>
      </c>
      <c r="B88" s="17">
        <f>3*15000*'July 2026 Update'!$B$84</f>
        <v/>
      </c>
    </row>
    <row r="89">
      <c r="A89" s="7" t="inlineStr">
        <is>
          <t>Leverage if those rent checks join the bill</t>
        </is>
      </c>
      <c r="B89" s="32">
        <f>(C50*'July 2026 Update'!$B$17)/((Assumptions!$B$45+C49*'July 2026 Update'!$B$17)+'July 2026 Update'!$B$88*'July 2026 Update'!$B$17)</f>
        <v/>
      </c>
      <c r="H89" s="5" t="inlineStr">
        <is>
          <t>The RFP commits NYCEDC to 'pay all rent and property taxes (as applicable)' at all five sites (p. 3) and 'may lease space from a private landlord' for BK/QNS/SI (p. 9). If it does, the rent checks belong in the bill and are NOT in the $167M: $11–27M nominal over the decade at the $25–60 band, ratio ~0.60–0.65. Labeled contingency, not a projection — EDC says it prioritizes city-owned sites; the first Q&amp;A round (due Aug 14, 2026) may resolve tenure.</t>
        </is>
      </c>
    </row>
    <row r="91">
      <c r="A91" s="3" t="inlineStr">
        <is>
          <t>Real rates and replacement — the honest run-forever (added Aug 2026)</t>
        </is>
      </c>
      <c r="B91" s="6" t="n"/>
      <c r="C91" s="6" t="n"/>
      <c r="D91" s="6" t="n"/>
      <c r="E91" s="6" t="n"/>
      <c r="F91" s="6" t="n"/>
      <c r="G91" s="6" t="n"/>
      <c r="H91" s="6" t="n"/>
    </row>
    <row r="92">
      <c r="A92" s="7" t="inlineStr">
        <is>
          <t>Inflation for indexed flows (10-yr breakeven)</t>
        </is>
      </c>
      <c r="B92" s="41" t="n">
        <v>0.0226</v>
      </c>
    </row>
    <row r="93">
      <c r="A93" s="7" t="inlineStr">
        <is>
          <t>Implied real rate ((1 + 4%) ÷ (1 + inflation) − 1)</t>
        </is>
      </c>
      <c r="B93" s="42">
        <f>(1+Assumptions!$B$31)/(1+'July 2026 Update'!$B$92)-1</f>
        <v/>
      </c>
    </row>
    <row r="94">
      <c r="A94" s="7" t="inlineStr">
        <is>
          <t>Annuity factor at the real rate (10 years)</t>
        </is>
      </c>
      <c r="B94" s="43">
        <f>(1-(1+'July 2026 Update'!$B$93)^(-10))/'July 2026 Update'!$B$93</f>
        <v/>
      </c>
    </row>
    <row r="95">
      <c r="A95" s="7" t="inlineStr">
        <is>
          <t>Ten-year leverage, indexed flows (real-rate read)</t>
        </is>
      </c>
      <c r="B95" s="32">
        <f>(C50*'July 2026 Update'!$B$94)/(Assumptions!$B$45+C49*'July 2026 Update'!$B$94)</f>
        <v/>
      </c>
      <c r="H95" s="5" t="inlineStr">
        <is>
          <t>0.72–0.73 across inflation 2–2.5%. Direction: favorable to the program vs the published 0.689 — disclosed, not re-based. The flat-nominal-at-4% convention understates the program's ratio, which is the conservative direction for this piece's verdict.</t>
        </is>
      </c>
    </row>
    <row r="96">
      <c r="A96" s="7" t="inlineStr">
        <is>
          <t>No-replacement perpetuity, indexed flows (naive)</t>
        </is>
      </c>
      <c r="B96" s="32">
        <f>C50/(Assumptions!$B$45*(Assumptions!$B$31-'July 2026 Update'!$B$92)+C49)</f>
        <v/>
      </c>
      <c r="H96" s="5" t="inlineStr">
        <is>
          <t>≈1.16 — the published 1.01 pushed UP by indexing. The naive forever figure is unstable in both directions; the user-cost row below is the honest one.</t>
        </is>
      </c>
    </row>
    <row r="97">
      <c r="A97" s="7" t="inlineStr">
        <is>
          <t>Fit-out economic life (years, author central)</t>
        </is>
      </c>
      <c r="B97" s="44" t="n">
        <v>12.5</v>
      </c>
    </row>
    <row r="98">
      <c r="A98" s="7" t="inlineStr">
        <is>
          <t>User cost of capital, K × (real rate + 1 ÷ life) ($/yr)</t>
        </is>
      </c>
      <c r="B98" s="17">
        <f>Assumptions!$B$45*('July 2026 Update'!$B$93+1/'July 2026 Update'!$B$97)</f>
        <v/>
      </c>
    </row>
    <row r="99">
      <c r="A99" s="7" t="inlineStr">
        <is>
          <t>Run forever with replacement charged (user cost)</t>
        </is>
      </c>
      <c r="B99" s="38">
        <f>C50/(C49+'July 2026 Update'!$B$98)</f>
        <v/>
      </c>
      <c r="H99" s="5" t="inlineStr">
        <is>
          <t>Band 0.70–0.82 across real rate 1.46–1.96% × life 10–15 years — UNDER the cash floor at every combination, no knife edge. This replaces the old ~4.2% break-even story, which was an artifact of flat nominal flows and never replacing the shelves. Hall–Jorgenson user cost; annualized capital charges are a recognized equivalent of NPV treatment (EPA Guidelines for Preparing Economic Analyses §6.1.2).</t>
        </is>
      </c>
    </row>
    <row r="101">
      <c r="A101" s="7" t="inlineStr">
        <is>
          <t>Reading this tab</t>
        </is>
      </c>
    </row>
    <row r="102" ht="30" customHeight="1">
      <c r="A102" s="4" t="inlineStr">
        <is>
          <t>• The demand-consistent diagonal: April's central was (10% discount, $500/sqft) — a modest discount at quiet small-format traffic. The announced plan's central is an 18% blend at $1,019/sqft (FMI 2025) on the RFP-consistent 13,800 sqft average footprint — a store priced 30% below market is capacity-bound, so industry-average traffic is the floor of the plausible range. This is generous to the plan on the leverage metric (busier stores score higher), which is what makes it fair.</t>
        </is>
      </c>
    </row>
    <row r="103" ht="30" customHeight="1">
      <c r="A103" s="4" t="inlineStr">
        <is>
          <t>• Quiet-store fallback: if the announced stores somehow stay at $500/sqft, the envelope falls to ~$128M and today's-dollars leverage to 0.43× — one branch makes the plan more expensive, the other less effective; neither approaches the 1.0x floor.</t>
        </is>
      </c>
    </row>
    <row r="104" ht="30" customHeight="1">
      <c r="A104" s="4" t="inlineStr">
        <is>
          <t>• No official operating-subsidy figure exists anywhere in the public record as of August 2026 — the vision plan contains zero dollar figures, and the adopted FY2027 budget, Schedule C, Comptroller testimony, and IBO are all silent. The subsidy MECHANISM is official (annual affordability payments, sized by operators' own subsidy bids, selection early-to-spring 2027), so this tab's envelope is an estimate of a number the city has not yet priced. Full ledger of the official record: IMPLEMENTATION_LEDGER_2026-08.md.</t>
        </is>
      </c>
    </row>
    <row r="105" ht="30" customHeight="1">
      <c r="A105" s="4" t="inlineStr">
        <is>
          <t>• Apples-to-apples: the same throughput-capped frame applied to the April 10% case and the announced scenarios. The Alternatives tab's 0.6x / 1.3x plan rows (matching the April piece's published table) use a more generous reach × spend frame; this frame caps benefit at what the stores can physically sell, which is the binding constraint at a 30% discount.</t>
        </is>
      </c>
    </row>
    <row r="106" ht="30" customHeight="1">
      <c r="A106" s="4" t="inlineStr">
        <is>
          <t>• Every additional point of discount is a 1:1 transfer at the margin (benefit and subsidy rise by the same dollars), so deepening the discount pulls leverage toward — never past — the 1.0x direct-transfer floor at any plausible volume. Along the VOLUME axis the story differs: crossing happens only above ~$2,200/sqft in today's dollars (≈2.2× the industry average) where the subsidy runs $19–37M/yr; as volume grows without bound, leverage approaches a ceiling of discount ÷ (discount − margin): 1.64× at the 18% blend, 1.30× at 30% — and the ceiling is cost-structure-dependent (95% costs → 1.38×; 91% → 2.0×). The $70M of construction and a decade of overhead hold the announced central to 0.69×.</t>
        </is>
      </c>
    </row>
    <row r="107" ht="30" customHeight="1">
      <c r="A107" s="4" t="inlineStr">
        <is>
          <t>• Cross-check: the only published outside per-store estimate of the announced plan (July 2026, a state comptroller candidate) applies 30% to ALL revenue on a ~$5.4M sales base (~$1.6M give-up, ~$1.5M loss per store). Two offsetting errors — a discount roughly double the blended reality, on a revenue base under half this model's central — land his bottom line in the same ballpark as this model's −$1.9M/store. Right ballpark, wrong mechanics. An earlier estimate (NY Post, April 17, 2026) put the East Harlem store's loss at at least $300,000/yr on pre-announcement economics.</t>
        </is>
      </c>
    </row>
    <row r="108" ht="30" customHeight="1">
      <c r="A108" s="4" t="inlineStr">
        <is>
          <t>• External anchor: DoD commissaries deliver ~24–25% patron savings (DeCA self-reported; GAO-17-80 criticized the methodology) on a $1.53–1.57B/yr appropriation (FY2024–26) — at face value roughly dollar-for-dollar leverage at 236-store scale, consistent with this model's ceiling logic.</t>
        </is>
      </c>
    </row>
    <row r="109" ht="30" customHeight="1">
      <c r="A109" s="4" t="inlineStr">
        <is>
          <t>• Sell-out risk (reasoning, not data): a 30% below-market price with no income test is a textbook shortage setup — demand rationed by queue, empty shelf, and per-customer limits; a 30% spread also makes resale arbitrage profitable. The RFP (July 27) requires operators to prevent excessive bulk purchases via a voluntary free savings card; numeric limits are not yet set.</t>
        </is>
      </c>
    </row>
    <row r="110" ht="30" customHeight="1">
      <c r="A110" s="4" t="inlineStr">
        <is>
          <t>• Asset value &amp; symmetry (Aug 2026, after an economist reader's critique): crediting a year-ten sale at the researched $3–12M reads 0.70–0.73; the full $70M reproduces the perpetuity exactly (an identity). Charging market rent for the space while crediting the sale lands 0.61–0.63. The honest run-forever charges fit-out replacement (user cost): 0.70–0.82, under the cash floor at every rate — the old knife-edge framing is retired. Leased-site rent contingency: ~0.60–0.65 if the three unnamed sites are leased from private landlords ($11–27M of rent checks not in the $167M bill).</t>
        </is>
      </c>
    </row>
  </sheetData>
  <mergeCells count="9">
    <mergeCell ref="A106:H106"/>
    <mergeCell ref="A105:H105"/>
    <mergeCell ref="A109:H109"/>
    <mergeCell ref="A104:H104"/>
    <mergeCell ref="A107:H107"/>
    <mergeCell ref="A108:H108"/>
    <mergeCell ref="A102:H102"/>
    <mergeCell ref="A103:H103"/>
    <mergeCell ref="A110:H110"/>
  </mergeCell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tabColor rgb="003B3B3B"/>
    <outlinePr summaryBelow="1" summaryRight="1"/>
    <pageSetUpPr/>
  </sheetPr>
  <dimension ref="A1:H24"/>
  <sheetViews>
    <sheetView showGridLines="0" workbookViewId="0">
      <pane ySplit="5" topLeftCell="A6" activePane="bottomLeft" state="frozen"/>
      <selection pane="bottomLeft" activeCell="A1" sqref="A1"/>
    </sheetView>
  </sheetViews>
  <sheetFormatPr baseColWidth="8" defaultRowHeight="15"/>
  <cols>
    <col width="6" customWidth="1" min="1" max="1"/>
    <col width="46" customWidth="1" min="2" max="2"/>
    <col width="14" customWidth="1" min="3" max="3"/>
    <col width="14" customWidth="1" min="4" max="4"/>
    <col width="16" customWidth="1" min="5" max="5"/>
    <col width="16" customWidth="1" min="6" max="6"/>
    <col width="12" customWidth="1" min="7" max="7"/>
    <col width="60" customWidth="1" min="8" max="8"/>
  </cols>
  <sheetData>
    <row r="1" ht="26" customHeight="1">
      <c r="A1" s="1" t="inlineStr">
        <is>
          <t>Alternatives — food-and-grocery benefit per public dollar</t>
        </is>
      </c>
      <c r="B1" s="2" t="n"/>
      <c r="C1" s="2" t="n"/>
      <c r="D1" s="2" t="n"/>
      <c r="E1" s="2" t="n"/>
      <c r="F1" s="2" t="n"/>
      <c r="G1" s="2" t="n"/>
      <c r="H1" s="2" t="n"/>
    </row>
    <row r="2">
      <c r="A2" s="5" t="inlineStr">
        <is>
          <t>The metric is $ of food-and-grocery benefit delivered per $ of public expenditure. Yellow cells are editable assumptions; leverage = benefit ÷ cost. Each row's title tags what its numerator is: (access value) / (induced savings) / (cash-like) / (meals delivered) / (price transfer).</t>
        </is>
      </c>
    </row>
    <row r="3">
      <c r="A3" s="5" t="inlineStr">
        <is>
          <t>Caveat: per-household benefit estimates are rough midpoints. Interventions also differ in nutritional quality, targeting precision, and durability. Edit the yellow cells to see how your own estimates change the ranking.</t>
        </is>
      </c>
    </row>
    <row r="5" ht="36" customHeight="1">
      <c r="A5" s="45" t="inlineStr">
        <is>
          <t>#</t>
        </is>
      </c>
      <c r="B5" s="45" t="inlineStr">
        <is>
          <t>Intervention</t>
        </is>
      </c>
      <c r="C5" s="45" t="inlineStr">
        <is>
          <t>10-yr public cost</t>
        </is>
      </c>
      <c r="D5" s="45" t="inlineStr">
        <is>
          <t>HH / kids reached</t>
        </is>
      </c>
      <c r="E5" s="45" t="inlineStr">
        <is>
          <t>Avg benefit per HH/yr</t>
        </is>
      </c>
      <c r="F5" s="45" t="inlineStr">
        <is>
          <t>10-yr benefit delivered</t>
        </is>
      </c>
      <c r="G5" s="45" t="inlineStr">
        <is>
          <t>Leverage</t>
        </is>
      </c>
      <c r="H5" s="45" t="inlineStr">
        <is>
          <t>Basis for benefit estimate</t>
        </is>
      </c>
    </row>
    <row r="6" ht="64" customHeight="1">
      <c r="A6" s="24" t="inlineStr">
        <is>
          <t>A1</t>
        </is>
      </c>
      <c r="B6" s="4" t="inlineStr">
        <is>
          <t>New supermarkets via FRESH-style abatements (access value)</t>
        </is>
      </c>
      <c r="C6" s="27">
        <f>Assumptions!$B$42*93</f>
        <v/>
      </c>
      <c r="D6" s="46">
        <f>'July 2026 Update'!$B$65</f>
        <v/>
      </c>
      <c r="E6" s="47" t="n">
        <v>300</v>
      </c>
      <c r="F6" s="48">
        <f>D6*E6*10</f>
        <v/>
      </c>
      <c r="G6" s="49">
        <f>IFERROR(F6/C6,"-")</f>
        <v/>
      </c>
      <c r="H6" s="50" t="inlineStr">
        <is>
          <t>Point estimate ~4.3×; honest range 2–8× depending on the access-benefit estimate ($150–600/HH/yr bounds; Allcott-Diamond-Dubé 2019 and NYC's FRESH evaluation support the low end for typical households, the full $300 only for the low-income core of the low-access population, ~32,000 households). Catalyzed private capital: ~$5.9M/store (NYCEDC program page: $177M across 30 completed projects).</t>
        </is>
      </c>
    </row>
    <row r="7" ht="64" customHeight="1">
      <c r="A7" s="24" t="inlineStr">
        <is>
          <t>A2</t>
        </is>
      </c>
      <c r="B7" s="4" t="inlineStr">
        <is>
          <t>Costco / BJ's membership subsidy for every SNAP household (10 yrs) (induced savings)</t>
        </is>
      </c>
      <c r="C7" s="27">
        <f>Assumptions!$B$37*Assumptions!$B$39*10</f>
        <v/>
      </c>
      <c r="D7" s="46">
        <f>Assumptions!$B$39*Assumptions!$B$51</f>
        <v/>
      </c>
      <c r="E7" s="47" t="n">
        <v>600</v>
      </c>
      <c r="F7" s="48">
        <f>D7*E7*10</f>
        <v/>
      </c>
      <c r="G7" s="49">
        <f>IFERROR(F7/C7,"-")</f>
        <v/>
      </c>
      <c r="H7" s="50" t="inlineStr">
        <is>
          <t>70% active use is an author assumption — documented membership-shaped analogs run 7–46%, necessity-benefit take-up 75–88% (SNAP FY22, USDA). Club prices run 20–35% below typical supermarkets (Consumers' Checkbook 2022; Consumer Reports 2025, percentage wedges — the $800–1,200/yr and blended ~$600/yr dollar figures are this model's conversion at $4,000–6,000/yr food-at-home spend; car/transit split is our assumption).</t>
        </is>
      </c>
    </row>
    <row r="8" ht="64" customHeight="1">
      <c r="A8" s="24" t="inlineStr">
        <is>
          <t>A3</t>
        </is>
      </c>
      <c r="B8" s="4" t="inlineStr">
        <is>
          <t>Expand school meals to weekends (full public cost) (meals delivered)</t>
        </is>
      </c>
      <c r="C8" s="27">
        <f>Assumptions!$B$40*Assumptions!$B$35*Assumptions!$B$34*10</f>
        <v/>
      </c>
      <c r="D8" s="46">
        <f>Assumptions!$B$40</f>
        <v/>
      </c>
      <c r="E8" s="47" t="n">
        <v>786</v>
      </c>
      <c r="F8" s="48">
        <f>D8*E8*10</f>
        <v/>
      </c>
      <c r="G8" s="49">
        <f>IFERROR(F8/C8,"-")</f>
        <v/>
      </c>
      <c r="H8" s="50" t="inlineStr">
        <is>
          <t>Priced at full public cost — federal free rates run $2.46–5.15/meal (SY2025-26 NSLP/SBP/CACFP); ~1.0× by construction: meals delivered ≈ dollars spent. (April had priced these at the state top-up $0.35/meal, which manufactured a 10×; corrected August 2026. NYC summers are already universal — SFSP + SUN Bucks — so the expansion is weekends.)</t>
        </is>
      </c>
    </row>
    <row r="9" ht="64" customHeight="1">
      <c r="A9" s="24" t="inlineStr">
        <is>
          <t>A4</t>
        </is>
      </c>
      <c r="B9" s="4" t="inlineStr">
        <is>
          <t>Bodega produce upgrade (one-time grant + 2-yr subsidy, then monitoring) (access value)</t>
        </is>
      </c>
      <c r="C9" s="27">
        <f>Assumptions!$B$41*5000+Assumptions!$B$41*2600</f>
        <v/>
      </c>
      <c r="D9" s="46">
        <f>Assumptions!$B$50</f>
        <v/>
      </c>
      <c r="E9" s="47" t="n">
        <v>50</v>
      </c>
      <c r="F9" s="48">
        <f>D9*E9*10</f>
        <v/>
      </c>
      <c r="G9" s="49">
        <f>IFERROR(F9/C9,"-")</f>
        <v/>
      </c>
      <c r="H9" s="50" t="inlineStr">
        <is>
          <t>Reach is the deduplicated citywide ceiling (3,334,088 NYC households, Census QuickFacts 2020–2024) — nearly every NYC household lives near a bodega, so per-bodega catchment arithmetic double-counts. ~$50–100/HH/yr realized produce-access value; $5k one-time infra grant + $2,600/bodega 2-yr produce subsidy. Point ~22× at the $76M natural scope, ~10–20× normalized to the plan's envelope (depth scales, reach cannot). Was 32.9× on overlapping catchments — corrected August 2026.</t>
        </is>
      </c>
    </row>
    <row r="10" ht="64" customHeight="1">
      <c r="A10" s="24" t="inlineStr">
        <is>
          <t>A5</t>
        </is>
      </c>
      <c r="B10" s="4" t="inlineStr">
        <is>
          <t>Expand Health Bucks SNAP matching to $40/day, 200 markets (10 yrs) (cash-like)</t>
        </is>
      </c>
      <c r="C10" s="27" t="n">
        <v>300000000</v>
      </c>
      <c r="D10" s="46">
        <f>Assumptions!$B$54</f>
        <v/>
      </c>
      <c r="E10" s="47" t="n">
        <v>150</v>
      </c>
      <c r="F10" s="48">
        <f>D10*E10*10</f>
        <v/>
      </c>
      <c r="G10" s="49">
        <f>IFERROR(F10/C10,"-")</f>
        <v/>
      </c>
      <c r="H10" s="50" t="inlineStr">
        <is>
          <t>Doubles fresh-produce purchasing for participating SNAP users. Est. $150/yr of incremental produce per participant.</t>
        </is>
      </c>
    </row>
    <row r="11" ht="64" customHeight="1">
      <c r="A11" s="24" t="inlineStr">
        <is>
          <t>A6</t>
        </is>
      </c>
      <c r="B11" s="4" t="inlineStr">
        <is>
          <t>NYC SNAP supplement ($20/mo) — SNAP families with kids (10 yrs) (cash-like)</t>
        </is>
      </c>
      <c r="C11" s="27">
        <f>Assumptions!$B$36*12*Assumptions!$B$39*Assumptions!$B$55*10</f>
        <v/>
      </c>
      <c r="D11" s="46">
        <f>Assumptions!$B$39*Assumptions!$B$55</f>
        <v/>
      </c>
      <c r="E11" s="47" t="n">
        <v>240</v>
      </c>
      <c r="F11" s="48">
        <f>D11*E11*10</f>
        <v/>
      </c>
      <c r="G11" s="49">
        <f>IFERROR(F11/C11,"-")</f>
        <v/>
      </c>
      <c r="H11" s="50" t="inlineStr">
        <is>
          <t>~40% of SNAP HH have kids. Direct transfer: every public $ = $1 of food the shopper chose. Leverage is 1.0x by design — this is the honest floor.</t>
        </is>
      </c>
    </row>
    <row r="12" ht="64" customHeight="1">
      <c r="A12" s="51" t="inlineStr">
        <is>
          <t>PLAN</t>
        </is>
      </c>
      <c r="B12" s="52" t="inlineStr">
        <is>
          <t>Mayor Mamdani's 5 city-owned grocery stores (central case) (price transfer)</t>
        </is>
      </c>
      <c r="C12" s="53">
        <f>Assumptions!$B$45+Assumptions!$B$46*10</f>
        <v/>
      </c>
      <c r="D12" s="54" t="n">
        <v>90000</v>
      </c>
      <c r="E12" s="47" t="n">
        <v>67</v>
      </c>
      <c r="F12" s="55">
        <f>D12*E12*10</f>
        <v/>
      </c>
      <c r="G12" s="56">
        <f>IFERROR(F12/C12,"-")</f>
        <v/>
      </c>
      <c r="H12" s="57" t="inlineStr">
        <is>
          <t>~18k shoppers × 5 stores × $1,100/yr spend at the store × ~6% realized discount (the unit economics can't support a double-digit discount — see Sensitivity tab). Matches the April piece's published central-case row (90k shoppers, $67/HH/yr, 0.6x); resynced August 2026 — the workbook previously shipped 75k × $50, which did not match the published table. Modeled April 2026, before any official discount figure existed; for the 30% core-basket discount announced July 27, 2026 see the July 2026 Update tab. Benefit is price savings on groceries the shopper was already buying, not new nutrition.</t>
        </is>
      </c>
    </row>
    <row r="13" ht="64" customHeight="1">
      <c r="A13" s="58" t="inlineStr">
        <is>
          <t>PLAN+</t>
        </is>
      </c>
      <c r="B13" s="59" t="inlineStr">
        <is>
          <t>Mayor Mamdani's plan — charitable case (plan assumptions work) (price transfer)</t>
        </is>
      </c>
      <c r="C13" s="60">
        <f>Assumptions!$B$45+Assumptions!$B$46*10</f>
        <v/>
      </c>
      <c r="D13" s="61" t="n">
        <v>100000</v>
      </c>
      <c r="E13" s="47" t="n">
        <v>130</v>
      </c>
      <c r="F13" s="62">
        <f>D13*E13*10</f>
        <v/>
      </c>
      <c r="G13" s="63">
        <f>IFERROR(F13/C13,"-")</f>
        <v/>
      </c>
      <c r="H13" s="64" t="inlineStr">
        <is>
          <t>Generous: 20k shoppers × 5 stores, ~11% realized discount on $1,200/yr store spend. Matches the April piece's published charitable row (100k shoppers, $130/HH/yr, 1.3x); resynced August 2026 from the previously shipped $120/HH. Requires sales/sqft + cost structure the plan has not demonstrated it can achieve.</t>
        </is>
      </c>
    </row>
    <row r="14"/>
    <row r="15"/>
    <row r="16">
      <c r="A16" s="24" t="inlineStr">
        <is>
          <t>How to read this table</t>
        </is>
      </c>
    </row>
    <row r="17" ht="18" customHeight="1">
      <c r="A17" s="29" t="inlineStr">
        <is>
          <t>Leverage = $ of food-and-grocery benefit delivered to households ÷ $ of public expenditure. Numerators differ in kind — each row's title carries a tag (access value / induced savings / cash-like / meals delivered / price transfer); the update piece's methodology notes carry the full taxonomy.</t>
        </is>
      </c>
    </row>
    <row r="18" ht="18" customHeight="1">
      <c r="A18" s="65" t="inlineStr">
        <is>
          <t>• 1.0x = a direct transfer (every public dollar becomes a dollar of food benefit). This is the honest floor for any food-access intervention.</t>
        </is>
      </c>
    </row>
    <row r="19" ht="18" customHeight="1">
      <c r="A19" s="65" t="inlineStr">
        <is>
          <t>• &gt;1.0x = catalytic leverage — public spend unlocks more food benefit than it costs (private capital, existing infrastructure, volume discounts).</t>
        </is>
      </c>
    </row>
    <row r="20" ht="18" customHeight="1">
      <c r="A20" s="65" t="inlineStr">
        <is>
          <t>• &lt;1.0x = public spend delivers less food benefit than it costs. In the grocery plan's case, it's because most of the spend goes to construction and ongoing subsidy of a retail operation, not to food.</t>
        </is>
      </c>
    </row>
    <row r="21" ht="18" customHeight="1">
      <c r="A21" s="29" t="inlineStr"/>
    </row>
    <row r="22" ht="18" customHeight="1">
      <c r="A22" s="29" t="inlineStr">
        <is>
          <t>The five-store plan is the only row below 1.0x even in its charitable case; the central case is 0.6x on this table's reach × spend frame (the April piece's published frame). The July 2026 Update tab prices the announced 30% discount on a throughput frame — 0.69x in today's dollars.</t>
        </is>
      </c>
    </row>
    <row r="23" ht="18" customHeight="1">
      <c r="A23" s="29" t="inlineStr">
        <is>
          <t>Direct transfers (SNAP supplement, Health Bucks) return ~1x by design and should be considered the baseline any food-access intervention must beat.</t>
        </is>
      </c>
    </row>
    <row r="24" ht="18" customHeight="1">
      <c r="A24" s="29" t="inlineStr">
        <is>
          <t>Catalytic rows run roughly 2–22x — FRESH-style abatements 2–8x depending on the access-benefit estimate, warehouse memberships ~6.5x in induced savings, the bodega ceiling ~10–22x depending on scope.</t>
        </is>
      </c>
    </row>
  </sheetData>
  <mergeCells count="8">
    <mergeCell ref="A18:H18"/>
    <mergeCell ref="A21:H21"/>
    <mergeCell ref="A20:H20"/>
    <mergeCell ref="A24:H24"/>
    <mergeCell ref="A19:H19"/>
    <mergeCell ref="A23:H23"/>
    <mergeCell ref="A22:H22"/>
    <mergeCell ref="A17:H17"/>
  </mergeCell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tabColor rgb="003B3B3B"/>
    <outlinePr summaryBelow="1" summaryRight="1"/>
    <pageSetUpPr/>
  </sheetPr>
  <dimension ref="A1:B25"/>
  <sheetViews>
    <sheetView showGridLines="0" workbookViewId="0">
      <selection activeCell="A1" sqref="A1"/>
    </sheetView>
  </sheetViews>
  <sheetFormatPr baseColWidth="8" defaultRowHeight="15"/>
  <cols>
    <col width="50" customWidth="1" min="1" max="1"/>
    <col width="80" customWidth="1" min="2" max="2"/>
  </cols>
  <sheetData>
    <row r="1" ht="26" customHeight="1">
      <c r="A1" s="1" t="inlineStr">
        <is>
          <t>Sources</t>
        </is>
      </c>
      <c r="B1" s="2" t="n"/>
    </row>
    <row r="3">
      <c r="A3" s="7" t="inlineStr">
        <is>
          <t>Mayor's Office, La Marqueta announcement (April 14, 2026)</t>
        </is>
      </c>
      <c r="B3" s="29" t="inlineStr">
        <is>
          <t>First site; $30M capex; operator structure ('contractually required to pass savings directly to customers'). No discount percentage named.</t>
        </is>
      </c>
    </row>
    <row r="4">
      <c r="A4" s="7" t="inlineStr">
        <is>
          <t>Mayor's Office, The Peninsula announcement (May 18, 2026)</t>
        </is>
      </c>
      <c r="B4" s="29" t="inlineStr">
        <is>
          <t>Second site: Hunts Point, Bronx; 20,000 sqft; first store to open (end 2027).</t>
        </is>
      </c>
    </row>
    <row r="5">
      <c r="A5" s="7" t="inlineStr">
        <is>
          <t>Mayor's Office, 30% discount announcement (July 27, 2026)</t>
        </is>
      </c>
      <c r="B5" s="29" t="inlineStr">
        <is>
          <t>30% off a core basket (all fresh produce, meat, seafood + ~20 categories of pantry staples, dairy, refrigerated); projected 15% cut to the average total grocery bill ($90/mo ≈ $1,000/yr per shopper); no income test; prices locked monthly; NYC Groceries private label; operator RFP due Oct 16, 2026. First hard discount figure in the plan's history — campaign and spring 2026 materials promised only 'wholesale prices' / passing on savings.</t>
        </is>
      </c>
    </row>
    <row r="6">
      <c r="A6" s="7" t="inlineStr">
        <is>
          <t>DoD commissaries — DeCA patron savings &amp; appropriations (FY2024–26); GAO-17-80</t>
        </is>
      </c>
      <c r="B6" s="29" t="inlineStr">
        <is>
          <t>External anchor: ~24–25% patron savings (DeCA self-reported; GAO-17-80 criticized the methodology) on a $1.53–1.57B/yr appropriation (FY2024–26), 236-store scale.</t>
        </is>
      </c>
    </row>
    <row r="7">
      <c r="A7" s="7" t="inlineStr">
        <is>
          <t>N.Y.C. Groceries vision plan — 'A Recipe for Affordability' (July 27, 2026)</t>
        </is>
      </c>
      <c r="B7" s="29" t="inlineStr">
        <is>
          <t>The program's operative document: basket = all fresh produce/meats/seafood + select dairy, shelf-stable, frozen; priced 'on average 30 percent below market'; fair pricing required on non-basket items; Peninsula respecified at 15,000 sqft; no dollar figures anywhere. Local copy: research/vision_plan.pdf.</t>
        </is>
      </c>
    </row>
    <row r="8">
      <c r="A8" s="7" t="inlineStr">
        <is>
          <t>NYCEDC — N.Y.C. Groceries Operator(s) RFP (July 27, 2026; 44 pp., obtained Aug 2 2026)</t>
        </is>
      </c>
      <c r="B8" s="29" t="inlineStr">
        <is>
          <t>Footprints (App. D–E), Core Basket categories (App. C), Affordability Payment structure (pp. 6–7, 20): annual payments sized to the operating deficit from discounted Core Basket sales, net of free rent and property tax; city-funded buildout; Labor Peace Agreement; proposals due Oct 16, 2026; operators announced early 2027.</t>
        </is>
      </c>
    </row>
    <row r="9">
      <c r="A9" s="7" t="inlineStr">
        <is>
          <t>NYC Council Finance Division / Comptroller (Feb–Mar 2026)</t>
        </is>
      </c>
      <c r="B9" s="29" t="inlineStr">
        <is>
          <t>$70M entered the capital record in the Feb 2026 Preliminary Commitment Plan, all planned FY2027, flowing through EDC capital (DSBS). No named budget line yet; no operating subsidy appears anywhere in the adopted FY2027 budget.</t>
        </is>
      </c>
    </row>
    <row r="10">
      <c r="A10" s="7" t="inlineStr">
        <is>
          <t>Implementation ledger (this repo)</t>
        </is>
      </c>
      <c r="B10" s="29" t="inlineStr">
        <is>
          <t>gizmos/nyc-public-grocery-math/IMPLEMENTATION_LEDGER_2026-08.md — every official document and quote, sourced and dated, with conflicts flagged.</t>
        </is>
      </c>
    </row>
    <row r="11">
      <c r="A11" s="7" t="inlineStr">
        <is>
          <t>FMI, The Food Retailing Industry Speaks 2026 (rel. July 7, 2026)</t>
        </is>
      </c>
      <c r="B11" s="29" t="inlineStr">
        <is>
          <t>2025 weekly sales per sqft of selling area $19.59 ≈ $1,019/yr. FMI 2024 Food Industry Facts remains the anchor for COGS %, average store size (42k sqft), and the ~1.6% industry net margin.</t>
        </is>
      </c>
    </row>
    <row r="12">
      <c r="A12" s="7" t="inlineStr">
        <is>
          <t>U.S. Census Bureau — QuickFacts, New York City (2020–2024 ACS)</t>
        </is>
      </c>
      <c r="B12" s="29" t="inlineStr">
        <is>
          <t>2.48 persons per household; 3,334,088 households.</t>
        </is>
      </c>
    </row>
    <row r="13">
      <c r="A13" s="7" t="inlineStr">
        <is>
          <t>Company filings via stockanalysis.com — Kroger net margin</t>
        </is>
      </c>
      <c r="B13" s="29" t="inlineStr">
        <is>
          <t>At or below 1.5% in three of the last five fiscal years; latest ~0.7%.</t>
        </is>
      </c>
    </row>
    <row r="14">
      <c r="A14" s="7" t="inlineStr">
        <is>
          <t>Company filings via stockanalysis.com — Costco net margin</t>
        </is>
      </c>
      <c r="B14" s="29" t="inlineStr">
        <is>
          <t>~2.9% in the last two fiscal years, membership-fee driven.</t>
        </is>
      </c>
    </row>
    <row r="15">
      <c r="A15" s="7" t="inlineStr">
        <is>
          <t>USDA Thrifty Food Plan, 2025</t>
        </is>
      </c>
      <c r="B15" s="29" t="inlineStr">
        <is>
          <t>~$750/mo for a mother + 2 school-age kids in NYC.</t>
        </is>
      </c>
    </row>
    <row r="16">
      <c r="A16" s="7" t="inlineStr">
        <is>
          <t>NY Department of Labor — 2026 minimum + prevailing wage schedule</t>
        </is>
      </c>
      <c r="B16" s="29" t="inlineStr">
        <is>
          <t>Base wage, union supplement, benefits loading.</t>
        </is>
      </c>
    </row>
    <row r="17">
      <c r="A17" s="7" t="inlineStr">
        <is>
          <t>NYC Comptroller, Good Jobs and the New York City FRESH Program (Fiscal Note 4-2024, Oct 2024)</t>
        </is>
      </c>
      <c r="B17" s="29" t="inlineStr">
        <is>
          <t>$29.2M cumulative tax expenditures through FY2023 across 27 tax-subsidized stores (~$1.08M/store); 30-completed-projects and $177M-private-capital figures are NYCEDC program-page numbers.</t>
        </is>
      </c>
    </row>
    <row r="18">
      <c r="A18" s="7" t="inlineStr">
        <is>
          <t>NYS OTDA — SNAP caseload statistics (data.ny.gov dq6j-8u8z)</t>
        </is>
      </c>
      <c r="B18" s="29" t="inlineStr">
        <is>
          <t>2025 monthly avg: ~1,069,000 NYC SNAP households, ~1.77M recipients (~1.66 persons/household).</t>
        </is>
      </c>
    </row>
    <row r="19">
      <c r="A19" s="7" t="inlineStr">
        <is>
          <t>NY Universal Free School Meals (enacted May 2025, SY2025-26)</t>
        </is>
      </c>
      <c r="B19" s="29" t="inlineStr">
        <is>
          <t>~$340M/yr state top-up on top of federal NSLP/SBP; federal free rates run $2.46–5.15/meal (SY2025-26 NSLP/SBP/CACFP) and carry most of the cost of new meals.</t>
        </is>
      </c>
    </row>
    <row r="20">
      <c r="A20" s="7" t="inlineStr">
        <is>
          <t>NYC Food Policy Center — East Harlem food environment</t>
        </is>
      </c>
      <c r="B20" s="29" t="inlineStr">
        <is>
          <t>Retail density, bodega counts, food-access metrics.</t>
        </is>
      </c>
    </row>
    <row r="21">
      <c r="A21" s="7" t="inlineStr">
        <is>
          <t>The Real Deal — FRESH analysis</t>
        </is>
      </c>
      <c r="B21" s="29" t="inlineStr">
        <is>
          <t>Property-level review of FRESH program results.</t>
        </is>
      </c>
    </row>
    <row r="22">
      <c r="A22" s="7" t="inlineStr">
        <is>
          <t>KCUR — Kansas City Sun Fresh closure (2025)</t>
        </is>
      </c>
      <c r="B22" s="29" t="inlineStr">
        <is>
          <t>Municipal grocery precedent; ~$18–21M total public cost.</t>
        </is>
      </c>
    </row>
    <row r="23">
      <c r="A23" s="7" t="inlineStr">
        <is>
          <t>Action News Jax — Baldwin FL municipal grocery closure</t>
        </is>
      </c>
      <c r="B23" s="29" t="inlineStr">
        <is>
          <t>Precedent; closed after 5 years.</t>
        </is>
      </c>
    </row>
    <row r="24">
      <c r="A24" s="7" t="inlineStr">
        <is>
          <t>Supermarket News — Chicago drops municipal grocery (2024)</t>
        </is>
      </c>
      <c r="B24" s="29" t="inlineStr">
        <is>
          <t>Mayor Johnson backed away from the concept after feasibility study.</t>
        </is>
      </c>
    </row>
    <row r="25">
      <c r="A25" s="7" t="inlineStr">
        <is>
          <t>NYC DOHMH — Health Bucks program (distributed with GrowNYC)</t>
        </is>
      </c>
      <c r="B25" s="29" t="inlineStr">
        <is>
          <t>Current $10/day cap; match-rate evaluation for fresh produce.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2026-08-07T14:26:24Z</dcterms:created>
  <dcterms:modified xmlns:dcterms="http://purl.org/dc/terms/" xmlns:xsi="http://www.w3.org/2001/XMLSchema-instance" xsi:type="dcterms:W3CDTF">2026-08-07T14:26:24Z</dcterms:modified>
</cp:coreProperties>
</file>